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EDE87640-F765-4FF3-8DB3-D90037063D78}" xr6:coauthVersionLast="32" xr6:coauthVersionMax="32" xr10:uidLastSave="{00000000-0000-0000-0000-000000000000}"/>
  <bookViews>
    <workbookView xWindow="-120" yWindow="-120" windowWidth="24240" windowHeight="13140" activeTab="3" xr2:uid="{00000000-000D-0000-FFFF-FFFF00000000}"/>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79017"/>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<sst xmlns="http://schemas.openxmlformats.org/spreadsheetml/2006/main" count="514" uniqueCount="244">
  <si>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</si>
  <si>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</si>
  <si>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</si>
  <si>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</si>
  <si>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</si>
  <si>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</si>
  <si>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</si>
  <si>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</si>
  <si>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</si>
  <si>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</si>
  <si>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</si>
  <si>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</si>
  <si>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</si>
  <si>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</si>
  <si>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</si>
  <si>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</si>
  <si>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</si>
  <si>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</si>
  <si>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</si>
  <si>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</si>
  <si>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</si>
  <si>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</si>
  <si>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</si>
  <si>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</si>
  <si>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</si>
  <si>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</si>
  <si>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</si>
  <si>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</si>
  <si>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</si>
  <si>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</si>
  <si>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</si>
  <si>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</si>
  <si>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</si>
  <si>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</si>
  <si>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</si>
  <si>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</si>
  <si>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</si>
  <si>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</si>
  <si>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</si>
  <si>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</si>
  <si>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</si>
  <si>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</si>
  <si>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</si>
  <si>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</si>
  <si>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</si>
  <si>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</si>
  <si>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</si>
  <si>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</si>
  <si>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</si>
  <si>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</si>
  <si>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</si>
  <si>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</si>
  <si>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</si>
  <si>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</si>
  <si>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</si>
  <si>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</si>
  <si>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</si>
  <si>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</si>
  <si>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</si>
  <si>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</si>
  <si>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</si>
  <si>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</si>
  <si>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</si>
  <si>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</si>
  <si>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</si>
  <si>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</si>
  <si>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</si>
  <si>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</si>
  <si>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</si>
  <si>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</si>
  <si>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</si>
  <si>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</si>
  <si>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</si>
  <si>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</si>
  <si>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</si>
  <si>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</si>
  <si>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</si>
  <si>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</si>
  <si>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</si>
  <si>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</si>
  <si>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</si>
  <si>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</si>
  <si>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</si>
  <si>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</si>
  <si>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</si>
  <si>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</si>
  <si>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</si>
  <si>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</si>
  <si>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</si>
  <si>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</si>
  <si>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</si>
  <si>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</si>
  <si>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</si>
  <si>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</si>
  <si>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</si>
  <si>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</si>
  <si>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</si>
  <si>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</si>
  <si>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</si>
  <si>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</si>
  <si>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</si>
  <si>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</si>
  <si>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</si>
  <si>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</si>
  <si>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</si>
  <si>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</si>
  <si>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</si>
  <si>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</si>
  <si>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</si>
  <si>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</si>
  <si>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</si>
  <si>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</si>
  <si>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</si>
  <si>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</si>
  <si>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</si>
  <si>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</si>
  <si>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</si>
  <si>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</si>
  <si>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</si>
  <si>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</si>
  <si>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</si>
  <si>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</si>
  <si>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</si>
  <si>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</si>
  <si>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</si>
  <si>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</si>
  <si>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</si>
  <si>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</si>
  <si>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</si>
  <si>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</si>
  <si>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</si>
  <si>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</si>
  <si>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</si>
  <si>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</si>
  <si>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</si>
  <si>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</si>
  <si>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</si>
  <si>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</si>
  <si>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</si>
  <si>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</si>
  <si>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</si>
  <si>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</si>
  <si>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</si>
  <si>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</si>
  <si>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</si>
  <si>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</si>
  <si>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</si>
  <si>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</si>
  <si>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</si>
  <si>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</si>
  <si>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</si>
  <si>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</si>
  <si>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</si>
  <si>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</si>
  <si>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</si>
  <si>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</si>
  <si>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</si>
  <si>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</si>
  <si>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</si>
  <si>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</si>
  <si>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</si>
  <si>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</si>
  <si>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</si>
  <si>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</si>
  <si>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</si>
  <si>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</si>
  <si>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</si>
  <si>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</si>
  <si>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</si>
  <si>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</si>
  <si>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</si>
  <si>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</si>
  <si>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</si>
  <si>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</si>
  <si>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</si>
  <si>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</si>
  <si>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</si>
  <si>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</si>
  <si>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</si>
  <si>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</si>
  <si>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</si>
  <si>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</si>
  <si>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</si>
  <si>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</si>
  <si>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</si>
  <si>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</si>
  <si>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</si>
  <si>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</si>
  <si>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</si>
  <si>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</si>
  <si>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</si>
  <si>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el documento codigo de etica y de integridad esta aprobado y documentado</t>
  </si>
  <si>
    <t xml:space="preserve">la entidad cuenta con el documento actualizado desde el año 2019, se reviso la estructura del comité </t>
  </si>
  <si>
    <t>la mision esta en proceso de reestructuracion de acuerdo con el plan estrategico institucional para el perdodo 2020-2024</t>
  </si>
  <si>
    <t xml:space="preserve">el organigrama fue actualizado de acuerdo a la estructira de procesos se realizo seguimiento </t>
  </si>
  <si>
    <t>el manual de funciones y competencias fue actualizado de acuerdo a la normatividad vigente</t>
  </si>
  <si>
    <t>el manual de procesos y procedimientos esta debidamente documentado</t>
  </si>
  <si>
    <t>la entidad cuenta con empleos de carrera, los servidores vinculados en la planta de personal estan en modalidad: libre nombramiento y remocion, carrera administrativa y provisionales, la entidad esta preparandose para abrir concurso cerrado y abierto demeritos</t>
  </si>
  <si>
    <t>se cuenta con planes de capacitacion, bienestaer y salud ocupacional en desarrollo. Existe un comité de bienestar interno.</t>
  </si>
  <si>
    <t>se realizado semestralmente y de acuerdo con el dafp la evaluacion a los servidores en carrera.</t>
  </si>
  <si>
    <t>se realiza de acuerdo a la normatividad vigente.</t>
  </si>
  <si>
    <t>se hace rendicion de cuenats semestral</t>
  </si>
  <si>
    <t xml:space="preserve">de acuerdo a la normatividad se cumple con la entrega de informes de gestion </t>
  </si>
  <si>
    <t>se realiza el mapa de riesgos de la enidad.</t>
  </si>
  <si>
    <t xml:space="preserve">la entidad cuentac con el mapa de riesgos y el de anticorrupcion </t>
  </si>
  <si>
    <t xml:space="preserve">el mapa de riesgo anticorrupcion de la entidad tiene relacionado los actos de corrupcion de las distintas funciones </t>
  </si>
  <si>
    <t xml:space="preserve">se han identificado los riesgos a la tecnologia de la informacion </t>
  </si>
  <si>
    <t xml:space="preserve">se realiza por parte de la oficina asesora de control interno a los riesgos de los procesos </t>
  </si>
  <si>
    <t>no informan periodicamente</t>
  </si>
  <si>
    <t>informan esporadicamente</t>
  </si>
  <si>
    <t>la oficina de control interno coordina los espacios de reunion para la solucion de los problemas de la entidad.</t>
  </si>
  <si>
    <t xml:space="preserve">cada lider cuenta con su plan de accion para tomar acciones para corregir los problemas que se presenten </t>
  </si>
  <si>
    <t xml:space="preserve">las acciones de mejora se toman continuamente </t>
  </si>
  <si>
    <t xml:space="preserve">se han definido controles para mitigar los riesgos de corrupcion </t>
  </si>
  <si>
    <t>la entidad cuenta con mapas de riesgo por procesos y mapa de riesgo de conrupcion que contiene los mecanismos para mitigar los riesgos</t>
  </si>
  <si>
    <t>existen planes de accion para subsanar la materializacion de los riesgos.</t>
  </si>
  <si>
    <t xml:space="preserve">la entidad cuenta con el plan de seguridad y privacidad de la informacion </t>
  </si>
  <si>
    <t>el plan esta publicado en la pagina web de la entidad</t>
  </si>
  <si>
    <t>la oficina de comunicación y protocolo es responsable de la comunicación insitucional</t>
  </si>
  <si>
    <t>la entidad posee los siguientes canales de comunicación como la pagina web de la entidad, el periodico y otros</t>
  </si>
  <si>
    <t>la entidad cuenta con la politica de tratamiento de datos</t>
  </si>
  <si>
    <t>la entidad tiene identificada la informacion que produce en su gestion</t>
  </si>
  <si>
    <t>la entidad identifica la informacion necesaria de la entidad</t>
  </si>
  <si>
    <t>la entidad ha implementado sistemas de informacion pero aun faltan mas infraestructura</t>
  </si>
  <si>
    <t xml:space="preserve">la entidad cuenta con mecanismos de evaluacion de la gestion </t>
  </si>
  <si>
    <t>Se hacen revisiones independientes al sistema de control interno</t>
  </si>
  <si>
    <t xml:space="preserve">se hacen planes de mejoramiento donde se aplican controles y medidas correctivas, seguimiento o auditoria </t>
  </si>
  <si>
    <t xml:space="preserve">se hace seguimiento a los planes de mejoramiento a los  planes de mejoramiento suscrito con la contraloria </t>
  </si>
  <si>
    <t xml:space="preserve">no se conoce la existencia del comité municipal de auditoria </t>
  </si>
  <si>
    <t>la entidad ha establecido controles para detectar los riesgos permitiendo que se cumplan los objetivos</t>
  </si>
  <si>
    <t>se han controlado los punris criticos de los procesos</t>
  </si>
  <si>
    <t>se han realizado planes de accion para cumplir las metas y objetivos institucionales</t>
  </si>
  <si>
    <t>se realiza la ejecucion de las acciones tal como se diseñaron</t>
  </si>
  <si>
    <t>se gestionan los problemas que afectan el cumplimiento de las funciones y objetivos institucionales</t>
  </si>
  <si>
    <t xml:space="preserve">CONCEJO DISTRITAL DE CARTAGENA </t>
  </si>
  <si>
    <t xml:space="preserve">                                                                   SEGUNDO SEMESTRE DE 2020</t>
  </si>
  <si>
    <t xml:space="preserve">DEBILIDAD: Es necesario dar mayor publicidad para lograr que un mayor porcentaje de la población la visite y conozca los proyectos y programas que se impulsan desde la entidad. 
FORTALEZAS: En desarrollo de los principios de transparencia y participación ciudadana, el Concejo Distrital de Cartagena cuenta con una estrategia de comunicación integral, que le permite gestionar la información y fortalecer los canales de comunicación con sus grupos de interés. Se destacan los siguientes avances: 
- Publicación en las redes sociales de todos los procesos, sesiones y noticias de la entidad.
- Sesiones en tiempo real a través del canal del Concejo en YouTube.
- Publicación del plan de acción, plan de adquisiciones, plan anticorrupción y seguimientos de la entidad en la página web.  
- Renovación constante e innovadora del 
portal institucional www.concejodecartagena.gov.co, el cual permite acceder a los contenidos de la página web,
</t>
  </si>
  <si>
    <t xml:space="preserve">DEBILIDAD: Es necesario que los funcionarios y contratistas realicen un autocontrol y evaluación en forma periódica con el fin de mejorar el control interno institucional. 
FORTALEZA: La evaluación sistemática e independiente realizada desde el control interno determina aspectos que pueden ser sujetos de control preventivo y correctivo, así como de oportunidades de mejoramiento. El Concejo Distrital de Cartagena en forma continua realiza actividades de seguimiento y monitoreo a la gestión, realizando evaluaciones periódicas de los distintos procesos, controles, planes, programas con el fin de identificar desviaciones e implementar medidas de mitigación de riesgos que permitan alcanzar los objetivos institucionales. 
 En el periodo se realizó monitoreo y seguimiento:
</t>
  </si>
  <si>
    <t>DEBILIDAD: es necesario concentrar esfuerzos en adoptar el MIPG y realizar su implementación desde la Oficina de planeación
FORTALEZA: Para cumplir sus objetivos institucionales y mitigar los riesgos asociados con su operación, el Concejo Distrital de Cartagena implementa mecanismos de control y seguimiento permanentes, que le permiten asegurar altos niveles de calidad y excelencia en su gestión. Durante el periodo se destaca lo siguiente: 
- Se revisaron los manuales de funciones 
- Se realizo evaluación al plan anticorrupción.
- Se realizo evaluacion semestral al Sistema de Control Interno
-Se realizo la Evacion al desempeño Institucional- FURAG</t>
  </si>
  <si>
    <t xml:space="preserve">DEBILIDAD: Se implementan en forma lenta los controles identificados
FORTALEZA: Con el objetivo de desarrollar el Sistema de Administración de Riesgos implementado por el Concejo Distrital de Cartagena se realizaron las siguientes acciones:
- Capacitación continua de las brigadas de emergencia de la entidad.
</t>
  </si>
  <si>
    <t xml:space="preserve">
FORTALEZA: El Concejo Distrital de Cartagena busca el mejoramiento del ambiente de control a través de la consolidación de su bienestar laboral y cultura ética, un adecuado manejo del talento y/o recurso humano.  Durante el periodo se han desarrollado las siguientes actividades: 
- Con el objetivo de consolidar la cultura de prevención, detección y respuesta ante actos que vayan en contra de los acuerdos éticos del Concejo Distrital de Cartagena, se viene haciendo seguimiento al Plan Anticorrupción y de Atención al Ciudadano de 2020. 
- Se realizaron actividades de bienestar con el fin de fortalecer los lazos de hermandad y solidaridad entre los funcionarios del Concejo.
</t>
  </si>
  <si>
    <t xml:space="preserve">Los componentes del MIPG  (7 de la séptima dimensión) están operando adecuadamente  Es necesario que desde la alta dirección de la entidad se fortalezca el sistema (ambiente de control)  Se realiza la evaluación de los riesgos internos y  externos de la entidad, en las actividades de control se cuentan con  las políticas de operación, las actividades de  Información y la Comunicación permiten conocer los controles y la gestión de la entidad; y se efectúa un </t>
  </si>
  <si>
    <t>El sistema de control interno del Concejo Distrital de Cartagena es efectivo dado que permite a través del seguimiento y evaluación independiente, que los procesos de la entidad sean efectivos y eficientes, logrando el cumplimiento de los objetivos planteados y evaluados</t>
  </si>
  <si>
    <t>La entidad  tiene establecido una línea de defensa que va desde la alta dirección como es el Comité Institucional Coordinador de Control interno,  el cual es  una instancia decisoria en el Sistema de Control Interno que funciona a nivel de la Línea Estratégica y que está bajo la responsabilidad de la Alta Dirección, en este caso del Presidente; la primera y la segunda línea de defensa están a cargo de los directores y jefes de cada dependencia , mientras que la última línea de defensa está a cargo del responsable del Control Interno del Concejo Distrital de Cartagena   enfocándose en la prevención y evaluación del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</si>
</sst>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8"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1">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13"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4" fillId="10" borderId="13"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52" fillId="12" borderId="0" xfId="0" applyFont="1" applyFill="1" applyBorder="1" applyAlignment="1">
      <alignment horizontal="center" vertical="center" wrapText="1"/>
    </xf>
    <xf numFmtId="0" fontId="0" fillId="0" borderId="73" xfId="0" applyBorder="1" applyAlignment="1">
      <alignment horizontal="center"/>
    </xf>
    <xf numFmtId="0" fontId="0" fillId="0" borderId="1" xfId="0" applyBorder="1" applyAlignment="1">
      <alignment horizont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left" vertical="center"/>
      <protection locked="0"/>
    </xf>
    <xf numFmtId="164" fontId="56" fillId="4" borderId="23" xfId="0" applyNumberFormat="1" applyFont="1" applyFill="1" applyBorder="1" applyAlignment="1" applyProtection="1">
      <alignment horizontal="left" vertical="center"/>
      <protection locked="0"/>
    </xf>
    <xf numFmtId="164" fontId="56" fillId="4" borderId="9" xfId="0" applyNumberFormat="1" applyFont="1" applyFill="1" applyBorder="1" applyAlignment="1" applyProtection="1">
      <alignment horizontal="left"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0" fontId="42" fillId="0" borderId="3" xfId="0" applyFont="1" applyFill="1" applyBorder="1" applyAlignment="1" applyProtection="1">
      <alignment horizontal="left" vertical="center"/>
      <protection hidden="1"/>
    </xf>
    <xf numFmtId="0" fontId="0" fillId="0" borderId="24" xfId="0" applyBorder="1" applyAlignment="1" applyProtection="1">
      <alignment horizontal="left" wrapText="1"/>
      <protection locked="0"/>
    </xf>
    <xf numFmtId="0" fontId="0" fillId="0" borderId="1" xfId="0" applyBorder="1" applyAlignment="1" applyProtection="1">
      <alignment horizontal="left"/>
      <protection locked="0"/>
    </xf>
    <xf numFmtId="0" fontId="0" fillId="0" borderId="25" xfId="0" applyBorder="1" applyAlignment="1" applyProtection="1">
      <alignment horizontal="left"/>
      <protection locked="0"/>
    </xf>
    <xf numFmtId="0" fontId="57" fillId="0" borderId="24" xfId="0" applyFont="1" applyFill="1" applyBorder="1" applyAlignment="1" applyProtection="1">
      <alignment horizontal="left" vertical="center" wrapText="1"/>
      <protection locked="0"/>
    </xf>
    <xf numFmtId="0" fontId="57" fillId="0" borderId="1" xfId="0" applyFont="1" applyFill="1" applyBorder="1" applyAlignment="1" applyProtection="1">
      <alignment horizontal="left" vertical="center"/>
      <protection locked="0"/>
    </xf>
    <xf numFmtId="0" fontId="57" fillId="0" borderId="25" xfId="0" applyFont="1" applyFill="1" applyBorder="1" applyAlignment="1" applyProtection="1">
      <alignment horizontal="left" vertical="center"/>
      <protection locked="0"/>
    </xf>
    <xf numFmtId="49" fontId="48" fillId="4" borderId="2" xfId="0" applyNumberFormat="1" applyFont="1" applyFill="1" applyBorder="1" applyAlignment="1" applyProtection="1">
      <alignment horizontal="left" vertical="top" wrapText="1"/>
      <protection locked="0"/>
    </xf>
    <xf numFmtId="49" fontId="48" fillId="4" borderId="84" xfId="0" applyNumberFormat="1" applyFont="1" applyFill="1" applyBorder="1" applyAlignment="1" applyProtection="1">
      <alignment horizontal="left" vertical="top" wrapText="1"/>
      <protection locked="0"/>
    </xf>
    <xf numFmtId="49" fontId="48" fillId="4" borderId="3" xfId="0" applyNumberFormat="1" applyFont="1" applyFill="1" applyBorder="1" applyAlignment="1" applyProtection="1">
      <alignment horizontal="left" vertical="top" wrapText="1"/>
      <protection locked="0"/>
    </xf>
    <xf numFmtId="49" fontId="48" fillId="4" borderId="85" xfId="0" applyNumberFormat="1" applyFont="1" applyFill="1" applyBorder="1" applyAlignment="1" applyProtection="1">
      <alignment horizontal="left" vertical="top" wrapText="1"/>
      <protection locked="0"/>
    </xf>
    <xf numFmtId="49" fontId="48" fillId="4" borderId="4" xfId="0" applyNumberFormat="1" applyFont="1" applyFill="1" applyBorder="1" applyAlignment="1" applyProtection="1">
      <alignment horizontal="left" vertical="top" wrapText="1"/>
      <protection locked="0"/>
    </xf>
    <xf numFmtId="49" fontId="48" fillId="4" borderId="86" xfId="0" applyNumberFormat="1" applyFont="1" applyFill="1" applyBorder="1" applyAlignment="1" applyProtection="1">
      <alignment horizontal="left" vertical="top" wrapText="1"/>
      <protection locked="0"/>
    </xf>
  </cellXfs>
  <cellStyles count="5">
    <cellStyle name="Normal" xfId="0" builtinId="0"/>
    <cellStyle name="Normal - Style1 2" xfId="3" xr:uid="{00000000-0005-0000-0000-000001000000}"/>
    <cellStyle name="Normal 2" xfId="2" xr:uid="{00000000-0005-0000-0000-000002000000}"/>
    <cellStyle name="Normal 2 2" xfId="4" xr:uid="{00000000-0005-0000-0000-000003000000}"/>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opLeftCell="A28" zoomScale="90" zoomScaleNormal="90" workbookViewId="0">
      <selection activeCell="B6" sqref="B6:H7"/>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97" t="s">
        <v>0</v>
      </c>
      <c r="C2" s="198"/>
      <c r="D2" s="198"/>
      <c r="E2" s="198"/>
      <c r="F2" s="198"/>
      <c r="G2" s="198"/>
      <c r="H2" s="199"/>
    </row>
    <row r="3" spans="2:8" ht="65.25" customHeight="1" x14ac:dyDescent="0.2">
      <c r="B3" s="200" t="s">
        <v>1</v>
      </c>
      <c r="C3" s="201"/>
      <c r="D3" s="201"/>
      <c r="E3" s="201"/>
      <c r="F3" s="201"/>
      <c r="G3" s="201"/>
      <c r="H3" s="202"/>
    </row>
    <row r="4" spans="2:8" ht="82.5" customHeight="1" x14ac:dyDescent="0.2">
      <c r="B4" s="200"/>
      <c r="C4" s="201"/>
      <c r="D4" s="201"/>
      <c r="E4" s="201"/>
      <c r="F4" s="201"/>
      <c r="G4" s="201"/>
      <c r="H4" s="202"/>
    </row>
    <row r="5" spans="2:8" ht="21.75" customHeight="1" x14ac:dyDescent="0.2">
      <c r="B5" s="203" t="s">
        <v>2</v>
      </c>
      <c r="C5" s="204"/>
      <c r="D5" s="204"/>
      <c r="E5" s="204"/>
      <c r="F5" s="204"/>
      <c r="G5" s="204"/>
      <c r="H5" s="205"/>
    </row>
    <row r="6" spans="2:8" ht="42" customHeight="1" x14ac:dyDescent="0.2">
      <c r="B6" s="206" t="s">
        <v>3</v>
      </c>
      <c r="C6" s="207"/>
      <c r="D6" s="207"/>
      <c r="E6" s="207"/>
      <c r="F6" s="207"/>
      <c r="G6" s="207"/>
      <c r="H6" s="208"/>
    </row>
    <row r="7" spans="2:8" ht="14.25" customHeight="1" x14ac:dyDescent="0.2">
      <c r="B7" s="206"/>
      <c r="C7" s="207"/>
      <c r="D7" s="207"/>
      <c r="E7" s="207"/>
      <c r="F7" s="207"/>
      <c r="G7" s="207"/>
      <c r="H7" s="208"/>
    </row>
    <row r="8" spans="2:8" ht="12.75" customHeight="1" thickBot="1" x14ac:dyDescent="0.25">
      <c r="B8" s="57"/>
      <c r="C8" s="51"/>
      <c r="D8" s="67"/>
      <c r="E8" s="68"/>
      <c r="F8" s="68"/>
      <c r="G8" s="65"/>
      <c r="H8" s="66"/>
    </row>
    <row r="9" spans="2:8" ht="21" customHeight="1" thickTop="1" x14ac:dyDescent="0.2">
      <c r="B9" s="57"/>
      <c r="C9" s="209" t="s">
        <v>4</v>
      </c>
      <c r="D9" s="210"/>
      <c r="E9" s="211" t="s">
        <v>5</v>
      </c>
      <c r="F9" s="212"/>
      <c r="G9" s="51"/>
      <c r="H9" s="59"/>
    </row>
    <row r="10" spans="2:8" ht="37.5" customHeight="1" x14ac:dyDescent="0.2">
      <c r="B10" s="57"/>
      <c r="C10" s="189" t="s">
        <v>6</v>
      </c>
      <c r="D10" s="190"/>
      <c r="E10" s="191" t="s">
        <v>7</v>
      </c>
      <c r="F10" s="192"/>
      <c r="G10" s="51"/>
      <c r="H10" s="59"/>
    </row>
    <row r="11" spans="2:8" ht="39.75" customHeight="1" x14ac:dyDescent="0.2">
      <c r="B11" s="57"/>
      <c r="C11" s="193" t="s">
        <v>8</v>
      </c>
      <c r="D11" s="194"/>
      <c r="E11" s="170" t="s">
        <v>9</v>
      </c>
      <c r="F11" s="171"/>
      <c r="G11" s="51"/>
      <c r="H11" s="59"/>
    </row>
    <row r="12" spans="2:8" ht="59.25" customHeight="1" x14ac:dyDescent="0.2">
      <c r="B12" s="57"/>
      <c r="C12" s="193" t="s">
        <v>10</v>
      </c>
      <c r="D12" s="194"/>
      <c r="E12" s="195" t="s">
        <v>11</v>
      </c>
      <c r="F12" s="196"/>
      <c r="G12" s="51"/>
      <c r="H12" s="59"/>
    </row>
    <row r="13" spans="2:8" ht="33.75" customHeight="1" x14ac:dyDescent="0.2">
      <c r="B13" s="57"/>
      <c r="C13" s="168" t="s">
        <v>12</v>
      </c>
      <c r="D13" s="169"/>
      <c r="E13" s="170" t="s">
        <v>13</v>
      </c>
      <c r="F13" s="171"/>
      <c r="G13" s="51"/>
      <c r="H13" s="59"/>
    </row>
    <row r="14" spans="2:8" ht="19.5" customHeight="1" x14ac:dyDescent="0.2">
      <c r="B14" s="57"/>
      <c r="C14" s="63"/>
      <c r="D14" s="63"/>
      <c r="E14" s="64"/>
      <c r="F14" s="64"/>
      <c r="G14" s="51"/>
      <c r="H14" s="59"/>
    </row>
    <row r="15" spans="2:8" ht="37.5" customHeight="1" thickBot="1" x14ac:dyDescent="0.25">
      <c r="B15" s="164" t="s">
        <v>14</v>
      </c>
      <c r="C15" s="165"/>
      <c r="D15" s="165"/>
      <c r="E15" s="165"/>
      <c r="F15" s="165"/>
      <c r="G15" s="165"/>
      <c r="H15" s="166"/>
    </row>
    <row r="16" spans="2:8" ht="27.75" customHeight="1" thickBot="1" x14ac:dyDescent="0.25">
      <c r="B16" s="57"/>
      <c r="C16" s="172" t="s">
        <v>15</v>
      </c>
      <c r="D16" s="173"/>
      <c r="E16" s="173" t="s">
        <v>16</v>
      </c>
      <c r="F16" s="184"/>
      <c r="G16" s="51"/>
      <c r="H16" s="59"/>
    </row>
    <row r="17" spans="2:8" ht="27.75" customHeight="1" x14ac:dyDescent="0.2">
      <c r="B17" s="57"/>
      <c r="C17" s="185" t="s">
        <v>17</v>
      </c>
      <c r="D17" s="186"/>
      <c r="E17" s="187" t="s">
        <v>18</v>
      </c>
      <c r="F17" s="188"/>
      <c r="G17" s="101"/>
      <c r="H17" s="59"/>
    </row>
    <row r="18" spans="2:8" ht="41.25" customHeight="1" x14ac:dyDescent="0.2">
      <c r="B18" s="57"/>
      <c r="C18" s="174" t="s">
        <v>19</v>
      </c>
      <c r="D18" s="175"/>
      <c r="E18" s="176" t="s">
        <v>20</v>
      </c>
      <c r="F18" s="177"/>
      <c r="G18" s="102"/>
      <c r="H18" s="59"/>
    </row>
    <row r="19" spans="2:8" ht="37.5" customHeight="1" thickBot="1" x14ac:dyDescent="0.25">
      <c r="B19" s="57"/>
      <c r="C19" s="178" t="s">
        <v>21</v>
      </c>
      <c r="D19" s="179"/>
      <c r="E19" s="180" t="s">
        <v>22</v>
      </c>
      <c r="F19" s="181"/>
      <c r="G19" s="102"/>
      <c r="H19" s="59"/>
    </row>
    <row r="20" spans="2:8" ht="11.25" customHeight="1" x14ac:dyDescent="0.2">
      <c r="B20" s="52"/>
      <c r="C20" s="53"/>
      <c r="D20" s="53"/>
      <c r="E20" s="53"/>
      <c r="F20" s="53"/>
      <c r="G20" s="53"/>
      <c r="H20" s="54"/>
    </row>
    <row r="21" spans="2:8" ht="14.25" customHeight="1" x14ac:dyDescent="0.2">
      <c r="B21" s="55"/>
      <c r="C21" s="182"/>
      <c r="D21" s="182"/>
      <c r="E21" s="183"/>
      <c r="F21" s="183"/>
      <c r="G21" s="183"/>
      <c r="H21" s="56"/>
    </row>
    <row r="22" spans="2:8" ht="36" customHeight="1" x14ac:dyDescent="0.2">
      <c r="B22" s="164" t="s">
        <v>23</v>
      </c>
      <c r="C22" s="165"/>
      <c r="D22" s="165"/>
      <c r="E22" s="165"/>
      <c r="F22" s="165"/>
      <c r="G22" s="165"/>
      <c r="H22" s="166"/>
    </row>
    <row r="23" spans="2:8" ht="13.5" x14ac:dyDescent="0.2">
      <c r="B23" s="57"/>
      <c r="C23" s="58"/>
      <c r="D23" s="58"/>
      <c r="E23" s="167"/>
      <c r="F23" s="167"/>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9"/>
  <sheetViews>
    <sheetView showGridLines="0" topLeftCell="B52" zoomScale="78" zoomScaleNormal="78" workbookViewId="0">
      <selection activeCell="F32" sqref="F32"/>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25">
      <c r="B14" s="213" t="s">
        <v>24</v>
      </c>
      <c r="C14" s="213"/>
      <c r="D14" s="213"/>
      <c r="E14" s="213"/>
      <c r="F14" s="213"/>
      <c r="G14" s="213"/>
      <c r="H14" s="213"/>
      <c r="I14" s="213"/>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3" t="str">
        <f>1&amp;E16</f>
        <v>1a</v>
      </c>
      <c r="B16" s="229" t="s">
        <v>31</v>
      </c>
      <c r="C16" s="239" t="s">
        <v>32</v>
      </c>
      <c r="D16" s="226" t="s">
        <v>33</v>
      </c>
      <c r="E16" s="81" t="s">
        <v>34</v>
      </c>
      <c r="F16" s="82" t="s">
        <v>35</v>
      </c>
      <c r="G16" s="112" t="s">
        <v>39</v>
      </c>
      <c r="H16" s="113" t="s">
        <v>192</v>
      </c>
      <c r="I16" s="104" t="str">
        <f>+IF(G16="Si","Mantenimiento del control",IF(G16="En proceso","Oportunidad de mejora","Deficiencia de control"))</f>
        <v>Mantenimiento del control</v>
      </c>
      <c r="J16" s="105">
        <f t="shared" ref="J16:J27" si="0">+IF(G16="Si",20,IF(G16="En proceso",10,0))</f>
        <v>20</v>
      </c>
      <c r="K16" s="105">
        <v>0.123</v>
      </c>
      <c r="L16" s="105">
        <f>+J16+K16</f>
        <v>20.123000000000001</v>
      </c>
    </row>
    <row r="17" spans="1:32" s="49" customFormat="1" ht="63" x14ac:dyDescent="0.25">
      <c r="A17" s="103" t="str">
        <f t="shared" ref="A17:A27" si="1">1&amp;E17</f>
        <v>1b</v>
      </c>
      <c r="B17" s="230"/>
      <c r="C17" s="240"/>
      <c r="D17" s="227"/>
      <c r="E17" s="83" t="s">
        <v>37</v>
      </c>
      <c r="F17" s="84" t="s">
        <v>38</v>
      </c>
      <c r="G17" s="114" t="s">
        <v>39</v>
      </c>
      <c r="H17" s="115" t="s">
        <v>191</v>
      </c>
      <c r="I17" s="106" t="str">
        <f t="shared" ref="I17:I59" si="2">+IF(G17="Si","Mantenimiento del control",IF(G17="En proceso","Oportunidad de mejora","Deficiencia de control"))</f>
        <v>Mantenimiento del control</v>
      </c>
      <c r="J17" s="107">
        <f t="shared" si="0"/>
        <v>20</v>
      </c>
      <c r="K17" s="105">
        <v>0.1234</v>
      </c>
      <c r="L17" s="105">
        <f t="shared" ref="L17:L59" si="3">+J17+K17</f>
        <v>20.1234</v>
      </c>
    </row>
    <row r="18" spans="1:32" s="49" customFormat="1" ht="64.5" customHeight="1" x14ac:dyDescent="0.25">
      <c r="A18" s="103" t="str">
        <f t="shared" si="1"/>
        <v>1c</v>
      </c>
      <c r="B18" s="230"/>
      <c r="C18" s="240"/>
      <c r="D18" s="227"/>
      <c r="E18" s="83" t="s">
        <v>40</v>
      </c>
      <c r="F18" s="85" t="s">
        <v>41</v>
      </c>
      <c r="G18" s="116" t="s">
        <v>39</v>
      </c>
      <c r="H18" s="117" t="s">
        <v>193</v>
      </c>
      <c r="I18" s="108" t="str">
        <f t="shared" si="2"/>
        <v>Mantenimiento del control</v>
      </c>
      <c r="J18" s="107">
        <f t="shared" si="0"/>
        <v>20</v>
      </c>
      <c r="K18" s="105">
        <v>0.12345</v>
      </c>
      <c r="L18" s="105">
        <f t="shared" si="3"/>
        <v>20.123449999999998</v>
      </c>
    </row>
    <row r="19" spans="1:32" s="49" customFormat="1" ht="37.5" customHeight="1" x14ac:dyDescent="0.25">
      <c r="A19" s="103" t="str">
        <f t="shared" si="1"/>
        <v>1d</v>
      </c>
      <c r="B19" s="230"/>
      <c r="C19" s="240"/>
      <c r="D19" s="227"/>
      <c r="E19" s="83" t="s">
        <v>42</v>
      </c>
      <c r="F19" s="85" t="s">
        <v>43</v>
      </c>
      <c r="G19" s="116" t="s">
        <v>39</v>
      </c>
      <c r="H19" s="117" t="s">
        <v>194</v>
      </c>
      <c r="I19" s="108" t="str">
        <f t="shared" si="2"/>
        <v>Mantenimiento del control</v>
      </c>
      <c r="J19" s="107">
        <f t="shared" si="0"/>
        <v>20</v>
      </c>
      <c r="K19" s="105">
        <v>0.123456</v>
      </c>
      <c r="L19" s="105">
        <f t="shared" si="3"/>
        <v>20.123456000000001</v>
      </c>
    </row>
    <row r="20" spans="1:32" s="49" customFormat="1" ht="37.5" customHeight="1" x14ac:dyDescent="0.25">
      <c r="A20" s="103" t="str">
        <f t="shared" si="1"/>
        <v>1e</v>
      </c>
      <c r="B20" s="230"/>
      <c r="C20" s="240"/>
      <c r="D20" s="227"/>
      <c r="E20" s="83" t="s">
        <v>44</v>
      </c>
      <c r="F20" s="85" t="s">
        <v>45</v>
      </c>
      <c r="G20" s="116" t="s">
        <v>39</v>
      </c>
      <c r="H20" s="117" t="s">
        <v>195</v>
      </c>
      <c r="I20" s="108" t="str">
        <f t="shared" si="2"/>
        <v>Mantenimiento del control</v>
      </c>
      <c r="J20" s="107">
        <f t="shared" si="0"/>
        <v>20</v>
      </c>
      <c r="K20" s="105">
        <v>0.12345678</v>
      </c>
      <c r="L20" s="105">
        <f t="shared" si="3"/>
        <v>20.123456780000001</v>
      </c>
    </row>
    <row r="21" spans="1:32" s="49" customFormat="1" ht="63.75" customHeight="1" x14ac:dyDescent="0.25">
      <c r="A21" s="103" t="str">
        <f t="shared" si="1"/>
        <v>1f</v>
      </c>
      <c r="B21" s="230"/>
      <c r="C21" s="240"/>
      <c r="D21" s="227"/>
      <c r="E21" s="83" t="s">
        <v>46</v>
      </c>
      <c r="F21" s="85" t="s">
        <v>47</v>
      </c>
      <c r="G21" s="116" t="s">
        <v>39</v>
      </c>
      <c r="H21" s="117" t="s">
        <v>196</v>
      </c>
      <c r="I21" s="108" t="str">
        <f t="shared" si="2"/>
        <v>Mantenimiento del control</v>
      </c>
      <c r="J21" s="107">
        <f t="shared" si="0"/>
        <v>20</v>
      </c>
      <c r="K21" s="105">
        <v>0.123456789</v>
      </c>
      <c r="L21" s="105">
        <f t="shared" si="3"/>
        <v>20.123456788999999</v>
      </c>
    </row>
    <row r="22" spans="1:32" s="49" customFormat="1" ht="65.25" customHeight="1" x14ac:dyDescent="0.25">
      <c r="A22" s="103" t="str">
        <f t="shared" si="1"/>
        <v>1g</v>
      </c>
      <c r="B22" s="230"/>
      <c r="C22" s="240"/>
      <c r="D22" s="227"/>
      <c r="E22" s="83" t="s">
        <v>48</v>
      </c>
      <c r="F22" s="85" t="s">
        <v>49</v>
      </c>
      <c r="G22" s="116" t="s">
        <v>39</v>
      </c>
      <c r="H22" s="117" t="s">
        <v>197</v>
      </c>
      <c r="I22" s="108" t="str">
        <f t="shared" si="2"/>
        <v>Mantenimiento del control</v>
      </c>
      <c r="J22" s="107">
        <f t="shared" si="0"/>
        <v>20</v>
      </c>
      <c r="K22" s="105">
        <v>0.12345678910000001</v>
      </c>
      <c r="L22" s="105">
        <f t="shared" si="3"/>
        <v>20.1234567891</v>
      </c>
    </row>
    <row r="23" spans="1:32" s="49" customFormat="1" ht="62.25" customHeight="1" x14ac:dyDescent="0.25">
      <c r="A23" s="103" t="str">
        <f t="shared" si="1"/>
        <v>1h</v>
      </c>
      <c r="B23" s="230"/>
      <c r="C23" s="240"/>
      <c r="D23" s="227"/>
      <c r="E23" s="83" t="s">
        <v>50</v>
      </c>
      <c r="F23" s="85" t="s">
        <v>51</v>
      </c>
      <c r="G23" s="116" t="s">
        <v>39</v>
      </c>
      <c r="H23" s="117" t="s">
        <v>198</v>
      </c>
      <c r="I23" s="108" t="str">
        <f t="shared" si="2"/>
        <v>Mantenimiento del control</v>
      </c>
      <c r="J23" s="107">
        <f t="shared" si="0"/>
        <v>20</v>
      </c>
      <c r="K23" s="105">
        <v>0.12345678911999999</v>
      </c>
      <c r="L23" s="105">
        <f t="shared" si="3"/>
        <v>20.123456789119999</v>
      </c>
    </row>
    <row r="24" spans="1:32" s="49" customFormat="1" ht="57.75" customHeight="1" x14ac:dyDescent="0.25">
      <c r="A24" s="103" t="str">
        <f t="shared" si="1"/>
        <v>1i</v>
      </c>
      <c r="B24" s="230"/>
      <c r="C24" s="240"/>
      <c r="D24" s="227"/>
      <c r="E24" s="83" t="s">
        <v>52</v>
      </c>
      <c r="F24" s="85" t="s">
        <v>53</v>
      </c>
      <c r="G24" s="116" t="s">
        <v>39</v>
      </c>
      <c r="H24" s="117" t="s">
        <v>199</v>
      </c>
      <c r="I24" s="108" t="str">
        <f t="shared" si="2"/>
        <v>Mantenimiento del control</v>
      </c>
      <c r="J24" s="107">
        <f t="shared" si="0"/>
        <v>20</v>
      </c>
      <c r="K24" s="105">
        <v>0.123456789123</v>
      </c>
      <c r="L24" s="105">
        <f t="shared" si="3"/>
        <v>20.123456789123001</v>
      </c>
    </row>
    <row r="25" spans="1:32" s="49" customFormat="1" ht="52.5" customHeight="1" x14ac:dyDescent="0.25">
      <c r="A25" s="103" t="str">
        <f t="shared" si="1"/>
        <v>1j</v>
      </c>
      <c r="B25" s="230"/>
      <c r="C25" s="240"/>
      <c r="D25" s="227"/>
      <c r="E25" s="83" t="s">
        <v>54</v>
      </c>
      <c r="F25" s="85" t="s">
        <v>55</v>
      </c>
      <c r="G25" s="116" t="s">
        <v>39</v>
      </c>
      <c r="H25" s="117" t="s">
        <v>200</v>
      </c>
      <c r="I25" s="108" t="str">
        <f t="shared" si="2"/>
        <v>Mantenimiento del control</v>
      </c>
      <c r="J25" s="107">
        <f t="shared" si="0"/>
        <v>20</v>
      </c>
      <c r="K25" s="105">
        <v>0.1234567891234</v>
      </c>
      <c r="L25" s="105">
        <f t="shared" si="3"/>
        <v>20.123456789123399</v>
      </c>
    </row>
    <row r="26" spans="1:32" s="49" customFormat="1" ht="42" customHeight="1" x14ac:dyDescent="0.25">
      <c r="A26" s="103" t="str">
        <f t="shared" si="1"/>
        <v>1k</v>
      </c>
      <c r="B26" s="230"/>
      <c r="C26" s="240"/>
      <c r="D26" s="227"/>
      <c r="E26" s="83" t="s">
        <v>56</v>
      </c>
      <c r="F26" s="85" t="s">
        <v>57</v>
      </c>
      <c r="G26" s="116" t="s">
        <v>39</v>
      </c>
      <c r="H26" s="117" t="s">
        <v>201</v>
      </c>
      <c r="I26" s="108" t="str">
        <f t="shared" si="2"/>
        <v>Mantenimiento del control</v>
      </c>
      <c r="J26" s="107">
        <f t="shared" si="0"/>
        <v>20</v>
      </c>
      <c r="K26" s="105">
        <v>0.12345678912345</v>
      </c>
      <c r="L26" s="105">
        <f t="shared" si="3"/>
        <v>20.123456789123448</v>
      </c>
    </row>
    <row r="27" spans="1:32" s="49" customFormat="1" ht="33.75" thickBot="1" x14ac:dyDescent="0.3">
      <c r="A27" s="103" t="str">
        <f t="shared" si="1"/>
        <v>1l</v>
      </c>
      <c r="B27" s="231"/>
      <c r="C27" s="241"/>
      <c r="D27" s="228"/>
      <c r="E27" s="86" t="s">
        <v>58</v>
      </c>
      <c r="F27" s="87" t="s">
        <v>59</v>
      </c>
      <c r="G27" s="118" t="s">
        <v>39</v>
      </c>
      <c r="H27" s="119" t="s">
        <v>202</v>
      </c>
      <c r="I27" s="109" t="str">
        <f t="shared" si="2"/>
        <v>Mantenimiento del control</v>
      </c>
      <c r="J27" s="107">
        <f t="shared" si="0"/>
        <v>20</v>
      </c>
      <c r="K27" s="105">
        <v>0.12345678912345601</v>
      </c>
      <c r="L27" s="105">
        <f t="shared" si="3"/>
        <v>20.123456789123455</v>
      </c>
    </row>
    <row r="28" spans="1:32" s="49" customFormat="1" ht="44.25" customHeight="1" x14ac:dyDescent="0.25">
      <c r="A28" s="103" t="str">
        <f>2&amp;E28</f>
        <v>2a</v>
      </c>
      <c r="B28" s="232" t="s">
        <v>60</v>
      </c>
      <c r="C28" s="242" t="s">
        <v>61</v>
      </c>
      <c r="D28" s="235" t="s">
        <v>62</v>
      </c>
      <c r="E28" s="81" t="s">
        <v>34</v>
      </c>
      <c r="F28" s="82" t="s">
        <v>63</v>
      </c>
      <c r="G28" s="112" t="s">
        <v>39</v>
      </c>
      <c r="H28" s="113" t="s">
        <v>203</v>
      </c>
      <c r="I28" s="104" t="str">
        <f t="shared" si="2"/>
        <v>Mantenimiento del control</v>
      </c>
      <c r="J28" s="105">
        <f>+IF(G28="Si",40,IF(G28="En proceso",30,20))</f>
        <v>40</v>
      </c>
      <c r="K28" s="105">
        <v>0.23</v>
      </c>
      <c r="L28" s="105">
        <f t="shared" si="3"/>
        <v>40.229999999999997</v>
      </c>
    </row>
    <row r="29" spans="1:32" s="49" customFormat="1" ht="63" x14ac:dyDescent="0.25">
      <c r="A29" s="103" t="str">
        <f t="shared" ref="A29:A31" si="4">2&amp;E29</f>
        <v>2b</v>
      </c>
      <c r="B29" s="233"/>
      <c r="C29" s="243"/>
      <c r="D29" s="236"/>
      <c r="E29" s="83" t="s">
        <v>37</v>
      </c>
      <c r="F29" s="85" t="s">
        <v>64</v>
      </c>
      <c r="G29" s="116" t="s">
        <v>39</v>
      </c>
      <c r="H29" s="117" t="s">
        <v>204</v>
      </c>
      <c r="I29" s="108" t="str">
        <f t="shared" si="2"/>
        <v>Mantenimiento del control</v>
      </c>
      <c r="J29" s="105">
        <f>+IF(G29="Si",40,IF(G29="En proceso",30,20))</f>
        <v>40</v>
      </c>
      <c r="K29" s="105">
        <v>0.23400000000000001</v>
      </c>
      <c r="L29" s="105">
        <f t="shared" si="3"/>
        <v>40.234000000000002</v>
      </c>
    </row>
    <row r="30" spans="1:32" s="49" customFormat="1" ht="49.5" x14ac:dyDescent="0.25">
      <c r="A30" s="103" t="str">
        <f t="shared" si="4"/>
        <v>2c</v>
      </c>
      <c r="B30" s="233"/>
      <c r="C30" s="243"/>
      <c r="D30" s="236"/>
      <c r="E30" s="83" t="s">
        <v>40</v>
      </c>
      <c r="F30" s="85" t="s">
        <v>65</v>
      </c>
      <c r="G30" s="116" t="s">
        <v>39</v>
      </c>
      <c r="H30" s="117" t="s">
        <v>205</v>
      </c>
      <c r="I30" s="108" t="str">
        <f t="shared" si="2"/>
        <v>Mantenimiento del control</v>
      </c>
      <c r="J30" s="105">
        <f>+IF(G30="Si",40,IF(G30="En proceso",30,20))</f>
        <v>40</v>
      </c>
      <c r="K30" s="105">
        <v>0.23449999999999999</v>
      </c>
      <c r="L30" s="105">
        <f t="shared" si="3"/>
        <v>40.234499999999997</v>
      </c>
    </row>
    <row r="31" spans="1:32" s="49" customFormat="1" ht="63.75" thickBot="1" x14ac:dyDescent="0.3">
      <c r="A31" s="103" t="str">
        <f t="shared" si="4"/>
        <v>2d</v>
      </c>
      <c r="B31" s="234"/>
      <c r="C31" s="244"/>
      <c r="D31" s="237"/>
      <c r="E31" s="86" t="s">
        <v>42</v>
      </c>
      <c r="F31" s="87" t="s">
        <v>66</v>
      </c>
      <c r="G31" s="118" t="s">
        <v>39</v>
      </c>
      <c r="H31" s="119" t="s">
        <v>206</v>
      </c>
      <c r="I31" s="109" t="str">
        <f t="shared" si="2"/>
        <v>Mantenimiento del control</v>
      </c>
      <c r="J31" s="105">
        <f>+IF(G31="Si",40,IF(G31="En proceso",30,20))</f>
        <v>40</v>
      </c>
      <c r="K31" s="105">
        <v>0.23455999999999999</v>
      </c>
      <c r="L31" s="105">
        <f t="shared" si="3"/>
        <v>40.234560000000002</v>
      </c>
    </row>
    <row r="32" spans="1:32" s="49" customFormat="1" ht="49.5" customHeight="1" x14ac:dyDescent="0.25">
      <c r="A32" s="103" t="str">
        <f>3&amp;E32</f>
        <v>3a</v>
      </c>
      <c r="B32" s="254" t="s">
        <v>67</v>
      </c>
      <c r="C32" s="254" t="s">
        <v>61</v>
      </c>
      <c r="D32" s="255" t="s">
        <v>68</v>
      </c>
      <c r="E32" s="88" t="s">
        <v>34</v>
      </c>
      <c r="F32" s="85" t="s">
        <v>69</v>
      </c>
      <c r="G32" s="116" t="s">
        <v>39</v>
      </c>
      <c r="H32" s="117" t="s">
        <v>207</v>
      </c>
      <c r="I32" s="108" t="str">
        <f t="shared" si="2"/>
        <v>Mantenimiento del control</v>
      </c>
      <c r="J32" s="105">
        <f t="shared" ref="J32:J37" si="5">+IF(G32="Si",40,IF(G32="En proceso",30,20))</f>
        <v>40</v>
      </c>
      <c r="K32" s="110">
        <v>0.234567</v>
      </c>
      <c r="L32" s="105">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x14ac:dyDescent="0.25">
      <c r="A33" s="103" t="str">
        <f t="shared" ref="A33:A34" si="7">3&amp;E33</f>
        <v>3b</v>
      </c>
      <c r="B33" s="254"/>
      <c r="C33" s="254"/>
      <c r="D33" s="255"/>
      <c r="E33" s="88" t="s">
        <v>37</v>
      </c>
      <c r="F33" s="85" t="s">
        <v>70</v>
      </c>
      <c r="G33" s="116" t="s">
        <v>76</v>
      </c>
      <c r="H33" s="117" t="s">
        <v>208</v>
      </c>
      <c r="I33" s="108" t="str">
        <f t="shared" si="2"/>
        <v>Oportunidad de mejora</v>
      </c>
      <c r="J33" s="105">
        <f t="shared" si="5"/>
        <v>30</v>
      </c>
      <c r="K33" s="110">
        <v>0.23456779999999999</v>
      </c>
      <c r="L33" s="105">
        <f t="shared" si="6"/>
        <v>30.234567800000001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x14ac:dyDescent="0.3">
      <c r="A34" s="103" t="str">
        <f t="shared" si="7"/>
        <v>3c</v>
      </c>
      <c r="B34" s="254"/>
      <c r="C34" s="254"/>
      <c r="D34" s="255"/>
      <c r="E34" s="88" t="s">
        <v>40</v>
      </c>
      <c r="F34" s="85" t="s">
        <v>71</v>
      </c>
      <c r="G34" s="116" t="s">
        <v>39</v>
      </c>
      <c r="H34" s="117" t="s">
        <v>209</v>
      </c>
      <c r="I34" s="108" t="str">
        <f t="shared" si="2"/>
        <v>Mantenimiento del control</v>
      </c>
      <c r="J34" s="105">
        <f t="shared" si="5"/>
        <v>40</v>
      </c>
      <c r="K34" s="110">
        <v>0.23456789</v>
      </c>
      <c r="L34" s="105">
        <f t="shared" si="6"/>
        <v>40.234567890000001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60.75" customHeight="1" x14ac:dyDescent="0.25">
      <c r="A35" s="103" t="str">
        <f>4&amp;E35</f>
        <v>4a</v>
      </c>
      <c r="B35" s="256" t="s">
        <v>72</v>
      </c>
      <c r="C35" s="243" t="s">
        <v>61</v>
      </c>
      <c r="D35" s="236" t="s">
        <v>73</v>
      </c>
      <c r="E35" s="81" t="s">
        <v>34</v>
      </c>
      <c r="F35" s="82" t="s">
        <v>74</v>
      </c>
      <c r="G35" s="112" t="s">
        <v>39</v>
      </c>
      <c r="H35" s="113" t="s">
        <v>210</v>
      </c>
      <c r="I35" s="104" t="str">
        <f t="shared" si="2"/>
        <v>Mantenimiento del control</v>
      </c>
      <c r="J35" s="105">
        <f t="shared" si="5"/>
        <v>40</v>
      </c>
      <c r="K35" s="110">
        <v>0.23456789119999999</v>
      </c>
      <c r="L35" s="105">
        <f t="shared" si="6"/>
        <v>40.234567891200001</v>
      </c>
      <c r="M35" s="48"/>
      <c r="N35" s="48"/>
      <c r="O35" s="48"/>
      <c r="P35" s="48"/>
      <c r="Q35" s="48"/>
    </row>
    <row r="36" spans="1:32" s="49" customFormat="1" ht="57.75" customHeight="1" x14ac:dyDescent="0.25">
      <c r="A36" s="103" t="str">
        <f t="shared" ref="A36:A37" si="8">4&amp;E36</f>
        <v>4b</v>
      </c>
      <c r="B36" s="256"/>
      <c r="C36" s="243"/>
      <c r="D36" s="236"/>
      <c r="E36" s="83" t="s">
        <v>37</v>
      </c>
      <c r="F36" s="85" t="s">
        <v>75</v>
      </c>
      <c r="G36" s="116" t="s">
        <v>39</v>
      </c>
      <c r="H36" s="117" t="s">
        <v>211</v>
      </c>
      <c r="I36" s="108" t="str">
        <f t="shared" si="2"/>
        <v>Mantenimiento del control</v>
      </c>
      <c r="J36" s="105">
        <f t="shared" si="5"/>
        <v>40</v>
      </c>
      <c r="K36" s="110">
        <v>0.23456789122999999</v>
      </c>
      <c r="L36" s="105">
        <f t="shared" si="6"/>
        <v>40.23456789123</v>
      </c>
      <c r="M36" s="48"/>
      <c r="N36" s="48"/>
      <c r="O36" s="48"/>
      <c r="P36" s="48"/>
      <c r="Q36" s="48"/>
    </row>
    <row r="37" spans="1:32" s="49" customFormat="1" ht="49.5" customHeight="1" thickBot="1" x14ac:dyDescent="0.3">
      <c r="A37" s="103" t="str">
        <f t="shared" si="8"/>
        <v>4c</v>
      </c>
      <c r="B37" s="256"/>
      <c r="C37" s="243"/>
      <c r="D37" s="236"/>
      <c r="E37" s="83" t="s">
        <v>40</v>
      </c>
      <c r="F37" s="85" t="s">
        <v>77</v>
      </c>
      <c r="G37" s="116" t="s">
        <v>39</v>
      </c>
      <c r="H37" s="117" t="s">
        <v>212</v>
      </c>
      <c r="I37" s="108" t="str">
        <f t="shared" si="2"/>
        <v>Mantenimiento del control</v>
      </c>
      <c r="J37" s="105">
        <f t="shared" si="5"/>
        <v>40</v>
      </c>
      <c r="K37" s="110">
        <v>0.23456789123399999</v>
      </c>
      <c r="L37" s="105">
        <f t="shared" si="6"/>
        <v>40.234567891234001</v>
      </c>
      <c r="M37" s="48"/>
      <c r="N37" s="48"/>
      <c r="O37" s="48"/>
      <c r="P37" s="48"/>
      <c r="Q37" s="48"/>
    </row>
    <row r="38" spans="1:32" s="49" customFormat="1" ht="85.5" customHeight="1" x14ac:dyDescent="0.25">
      <c r="A38" s="103" t="str">
        <f>5&amp;E38</f>
        <v>5a</v>
      </c>
      <c r="B38" s="257" t="s">
        <v>78</v>
      </c>
      <c r="C38" s="245" t="s">
        <v>79</v>
      </c>
      <c r="D38" s="260" t="s">
        <v>80</v>
      </c>
      <c r="E38" s="81" t="s">
        <v>34</v>
      </c>
      <c r="F38" s="89" t="s">
        <v>81</v>
      </c>
      <c r="G38" s="120" t="s">
        <v>39</v>
      </c>
      <c r="H38" s="121" t="s">
        <v>213</v>
      </c>
      <c r="I38" s="111" t="str">
        <f t="shared" si="2"/>
        <v>Mantenimiento del control</v>
      </c>
      <c r="J38" s="105">
        <f>+IF(G38="Si",60,IF(G38="En proceso",50,40))</f>
        <v>60</v>
      </c>
      <c r="K38" s="105">
        <v>0.31</v>
      </c>
      <c r="L38" s="105">
        <f t="shared" si="3"/>
        <v>60.31</v>
      </c>
    </row>
    <row r="39" spans="1:32" s="49" customFormat="1" ht="63" x14ac:dyDescent="0.25">
      <c r="A39" s="103" t="str">
        <f t="shared" ref="A39:A42" si="9">5&amp;E39</f>
        <v>5b</v>
      </c>
      <c r="B39" s="258"/>
      <c r="C39" s="246"/>
      <c r="D39" s="261"/>
      <c r="E39" s="83" t="s">
        <v>37</v>
      </c>
      <c r="F39" s="85" t="s">
        <v>82</v>
      </c>
      <c r="G39" s="116" t="s">
        <v>39</v>
      </c>
      <c r="H39" s="117" t="s">
        <v>214</v>
      </c>
      <c r="I39" s="108" t="str">
        <f t="shared" si="2"/>
        <v>Mantenimiento del control</v>
      </c>
      <c r="J39" s="105">
        <f>+IF(G39="Si",60,IF(G39="En proceso",50,40))</f>
        <v>60</v>
      </c>
      <c r="K39" s="105">
        <v>0.32300000000000001</v>
      </c>
      <c r="L39" s="105">
        <f t="shared" si="3"/>
        <v>60.323</v>
      </c>
    </row>
    <row r="40" spans="1:32" s="49" customFormat="1" ht="47.25" x14ac:dyDescent="0.25">
      <c r="A40" s="103" t="str">
        <f t="shared" si="9"/>
        <v>5c</v>
      </c>
      <c r="B40" s="258"/>
      <c r="C40" s="246"/>
      <c r="D40" s="261"/>
      <c r="E40" s="83" t="s">
        <v>40</v>
      </c>
      <c r="F40" s="85" t="s">
        <v>83</v>
      </c>
      <c r="G40" s="116" t="s">
        <v>39</v>
      </c>
      <c r="H40" s="117" t="s">
        <v>215</v>
      </c>
      <c r="I40" s="108" t="str">
        <f t="shared" si="2"/>
        <v>Mantenimiento del control</v>
      </c>
      <c r="J40" s="105">
        <f>+IF(G40="Si",60,IF(G40="En proceso",50,40))</f>
        <v>60</v>
      </c>
      <c r="K40" s="105">
        <v>0.32400000000000001</v>
      </c>
      <c r="L40" s="105">
        <f t="shared" si="3"/>
        <v>60.323999999999998</v>
      </c>
    </row>
    <row r="41" spans="1:32" s="49" customFormat="1" ht="94.5" x14ac:dyDescent="0.25">
      <c r="A41" s="103" t="str">
        <f t="shared" si="9"/>
        <v>5d</v>
      </c>
      <c r="B41" s="258"/>
      <c r="C41" s="246"/>
      <c r="D41" s="261"/>
      <c r="E41" s="83" t="s">
        <v>42</v>
      </c>
      <c r="F41" s="85" t="s">
        <v>84</v>
      </c>
      <c r="G41" s="116" t="s">
        <v>39</v>
      </c>
      <c r="H41" s="117" t="s">
        <v>216</v>
      </c>
      <c r="I41" s="108" t="str">
        <f t="shared" si="2"/>
        <v>Mantenimiento del control</v>
      </c>
      <c r="J41" s="105">
        <f>+IF(G41="Si",60,IF(G41="En proceso",50,40))</f>
        <v>60</v>
      </c>
      <c r="K41" s="105">
        <v>0.32500000000000001</v>
      </c>
      <c r="L41" s="105">
        <f t="shared" si="3"/>
        <v>60.325000000000003</v>
      </c>
    </row>
    <row r="42" spans="1:32" s="49" customFormat="1" ht="48" thickBot="1" x14ac:dyDescent="0.3">
      <c r="A42" s="103" t="str">
        <f t="shared" si="9"/>
        <v>5e</v>
      </c>
      <c r="B42" s="259"/>
      <c r="C42" s="247"/>
      <c r="D42" s="262"/>
      <c r="E42" s="86" t="s">
        <v>44</v>
      </c>
      <c r="F42" s="87" t="s">
        <v>85</v>
      </c>
      <c r="G42" s="118" t="s">
        <v>39</v>
      </c>
      <c r="H42" s="119" t="s">
        <v>217</v>
      </c>
      <c r="I42" s="109" t="str">
        <f t="shared" si="2"/>
        <v>Mantenimiento del control</v>
      </c>
      <c r="J42" s="105">
        <f>+IF(G42="Si",60,IF(G42="En proceso",50,40))</f>
        <v>60</v>
      </c>
      <c r="K42" s="105">
        <v>0.32600000000000001</v>
      </c>
      <c r="L42" s="105">
        <f t="shared" si="3"/>
        <v>60.326000000000001</v>
      </c>
    </row>
    <row r="43" spans="1:32" s="49" customFormat="1" ht="40.5" customHeight="1" x14ac:dyDescent="0.25">
      <c r="A43" s="103" t="str">
        <f>6&amp;E43</f>
        <v>6a</v>
      </c>
      <c r="B43" s="217" t="s">
        <v>86</v>
      </c>
      <c r="C43" s="248" t="s">
        <v>87</v>
      </c>
      <c r="D43" s="214" t="s">
        <v>88</v>
      </c>
      <c r="E43" s="81" t="s">
        <v>34</v>
      </c>
      <c r="F43" s="82" t="s">
        <v>89</v>
      </c>
      <c r="G43" s="112" t="s">
        <v>39</v>
      </c>
      <c r="H43" s="113" t="s">
        <v>218</v>
      </c>
      <c r="I43" s="104" t="str">
        <f t="shared" si="2"/>
        <v>Mantenimiento del control</v>
      </c>
      <c r="J43" s="105">
        <f t="shared" ref="J43:J49" si="10">+IF(G43="Si",80,IF(G43="En proceso",70,60))</f>
        <v>80</v>
      </c>
      <c r="K43" s="105">
        <v>0.41199999999999998</v>
      </c>
      <c r="L43" s="105">
        <f t="shared" si="3"/>
        <v>80.412000000000006</v>
      </c>
    </row>
    <row r="44" spans="1:32" s="49" customFormat="1" ht="33" customHeight="1" x14ac:dyDescent="0.25">
      <c r="A44" s="103" t="str">
        <f t="shared" ref="A44:A49" si="11">6&amp;E44</f>
        <v>6b</v>
      </c>
      <c r="B44" s="218"/>
      <c r="C44" s="249"/>
      <c r="D44" s="215"/>
      <c r="E44" s="83" t="s">
        <v>37</v>
      </c>
      <c r="F44" s="85" t="s">
        <v>90</v>
      </c>
      <c r="G44" s="116" t="s">
        <v>39</v>
      </c>
      <c r="H44" s="117" t="s">
        <v>219</v>
      </c>
      <c r="I44" s="108" t="str">
        <f t="shared" si="2"/>
        <v>Mantenimiento del control</v>
      </c>
      <c r="J44" s="105">
        <f t="shared" si="10"/>
        <v>80</v>
      </c>
      <c r="K44" s="105">
        <v>0.4123</v>
      </c>
      <c r="L44" s="105">
        <f t="shared" si="3"/>
        <v>80.412300000000002</v>
      </c>
    </row>
    <row r="45" spans="1:32" s="49" customFormat="1" ht="49.5" x14ac:dyDescent="0.25">
      <c r="A45" s="103" t="str">
        <f t="shared" si="11"/>
        <v>6c</v>
      </c>
      <c r="B45" s="218"/>
      <c r="C45" s="249"/>
      <c r="D45" s="215"/>
      <c r="E45" s="83" t="s">
        <v>40</v>
      </c>
      <c r="F45" s="85" t="s">
        <v>91</v>
      </c>
      <c r="G45" s="116" t="s">
        <v>39</v>
      </c>
      <c r="H45" s="117" t="s">
        <v>219</v>
      </c>
      <c r="I45" s="108" t="str">
        <f t="shared" si="2"/>
        <v>Mantenimiento del control</v>
      </c>
      <c r="J45" s="105">
        <f t="shared" si="10"/>
        <v>80</v>
      </c>
      <c r="K45" s="105">
        <v>0.41233999999999998</v>
      </c>
      <c r="L45" s="105">
        <f t="shared" si="3"/>
        <v>80.41234</v>
      </c>
    </row>
    <row r="46" spans="1:32" s="49" customFormat="1" ht="33" x14ac:dyDescent="0.25">
      <c r="A46" s="103" t="str">
        <f t="shared" si="11"/>
        <v>6d</v>
      </c>
      <c r="B46" s="218"/>
      <c r="C46" s="249"/>
      <c r="D46" s="215"/>
      <c r="E46" s="83" t="s">
        <v>42</v>
      </c>
      <c r="F46" s="85" t="s">
        <v>92</v>
      </c>
      <c r="G46" s="116" t="s">
        <v>39</v>
      </c>
      <c r="H46" s="117" t="s">
        <v>220</v>
      </c>
      <c r="I46" s="108" t="str">
        <f t="shared" si="2"/>
        <v>Mantenimiento del control</v>
      </c>
      <c r="J46" s="105">
        <f t="shared" si="10"/>
        <v>80</v>
      </c>
      <c r="K46" s="105">
        <v>0.41234500000000002</v>
      </c>
      <c r="L46" s="105">
        <f t="shared" si="3"/>
        <v>80.412345000000002</v>
      </c>
    </row>
    <row r="47" spans="1:32" s="49" customFormat="1" ht="63" x14ac:dyDescent="0.25">
      <c r="A47" s="103" t="str">
        <f t="shared" si="11"/>
        <v>6e</v>
      </c>
      <c r="B47" s="218"/>
      <c r="C47" s="249"/>
      <c r="D47" s="215"/>
      <c r="E47" s="83" t="s">
        <v>44</v>
      </c>
      <c r="F47" s="85" t="s">
        <v>93</v>
      </c>
      <c r="G47" s="116" t="s">
        <v>39</v>
      </c>
      <c r="H47" s="117" t="s">
        <v>221</v>
      </c>
      <c r="I47" s="108" t="str">
        <f t="shared" si="2"/>
        <v>Mantenimiento del control</v>
      </c>
      <c r="J47" s="105">
        <f t="shared" si="10"/>
        <v>80</v>
      </c>
      <c r="K47" s="105">
        <v>0.41234559999999998</v>
      </c>
      <c r="L47" s="105">
        <f t="shared" si="3"/>
        <v>80.412345599999995</v>
      </c>
    </row>
    <row r="48" spans="1:32" s="49" customFormat="1" ht="63" x14ac:dyDescent="0.25">
      <c r="A48" s="103" t="str">
        <f t="shared" si="11"/>
        <v>6f</v>
      </c>
      <c r="B48" s="218"/>
      <c r="C48" s="249"/>
      <c r="D48" s="215"/>
      <c r="E48" s="83" t="s">
        <v>46</v>
      </c>
      <c r="F48" s="85" t="s">
        <v>94</v>
      </c>
      <c r="G48" s="116" t="s">
        <v>39</v>
      </c>
      <c r="H48" s="117" t="s">
        <v>222</v>
      </c>
      <c r="I48" s="108" t="str">
        <f t="shared" si="2"/>
        <v>Mantenimiento del control</v>
      </c>
      <c r="J48" s="105">
        <f t="shared" si="10"/>
        <v>80</v>
      </c>
      <c r="K48" s="105">
        <v>0.41234567</v>
      </c>
      <c r="L48" s="105">
        <f t="shared" si="3"/>
        <v>80.412345669999993</v>
      </c>
    </row>
    <row r="49" spans="1:17" s="49" customFormat="1" ht="48" thickBot="1" x14ac:dyDescent="0.3">
      <c r="A49" s="103" t="str">
        <f t="shared" si="11"/>
        <v>6g</v>
      </c>
      <c r="B49" s="219"/>
      <c r="C49" s="250"/>
      <c r="D49" s="216"/>
      <c r="E49" s="86" t="s">
        <v>48</v>
      </c>
      <c r="F49" s="87" t="s">
        <v>95</v>
      </c>
      <c r="G49" s="118" t="s">
        <v>39</v>
      </c>
      <c r="H49" s="119" t="s">
        <v>223</v>
      </c>
      <c r="I49" s="109" t="str">
        <f t="shared" si="2"/>
        <v>Mantenimiento del control</v>
      </c>
      <c r="J49" s="105">
        <f t="shared" si="10"/>
        <v>80</v>
      </c>
      <c r="K49" s="105">
        <v>0.41234567799999999</v>
      </c>
      <c r="L49" s="105">
        <f t="shared" si="3"/>
        <v>80.412345677999994</v>
      </c>
    </row>
    <row r="50" spans="1:17" s="49" customFormat="1" ht="54.75" customHeight="1" x14ac:dyDescent="0.25">
      <c r="A50" s="103" t="str">
        <f>7&amp;E50</f>
        <v>7a</v>
      </c>
      <c r="B50" s="223" t="s">
        <v>96</v>
      </c>
      <c r="C50" s="251" t="s">
        <v>97</v>
      </c>
      <c r="D50" s="220" t="s">
        <v>98</v>
      </c>
      <c r="E50" s="81" t="s">
        <v>34</v>
      </c>
      <c r="F50" s="82" t="s">
        <v>99</v>
      </c>
      <c r="G50" s="112" t="s">
        <v>39</v>
      </c>
      <c r="H50" s="113" t="s">
        <v>224</v>
      </c>
      <c r="I50" s="104" t="str">
        <f t="shared" si="2"/>
        <v>Mantenimiento del control</v>
      </c>
      <c r="J50" s="105">
        <f>+IF(G50="Si",120,IF(G50="En proceso",100,80))</f>
        <v>120</v>
      </c>
      <c r="K50" s="105">
        <v>0.85099999999999998</v>
      </c>
      <c r="L50" s="105">
        <f t="shared" si="3"/>
        <v>120.851</v>
      </c>
    </row>
    <row r="51" spans="1:17" s="49" customFormat="1" ht="94.5" x14ac:dyDescent="0.25">
      <c r="A51" s="103" t="str">
        <f t="shared" ref="A51:A53" si="12">7&amp;E51</f>
        <v>7d</v>
      </c>
      <c r="B51" s="224"/>
      <c r="C51" s="252"/>
      <c r="D51" s="221"/>
      <c r="E51" s="83" t="s">
        <v>42</v>
      </c>
      <c r="F51" s="85" t="s">
        <v>100</v>
      </c>
      <c r="G51" s="116" t="s">
        <v>39</v>
      </c>
      <c r="H51" s="117" t="s">
        <v>225</v>
      </c>
      <c r="I51" s="108" t="str">
        <f t="shared" si="2"/>
        <v>Mantenimiento del control</v>
      </c>
      <c r="J51" s="105">
        <f t="shared" ref="J51:J59" si="13">+IF(G51="Si",120,IF(G51="En proceso",100,80))</f>
        <v>120</v>
      </c>
      <c r="K51" s="105">
        <v>0.85119999999999996</v>
      </c>
      <c r="L51" s="105">
        <f t="shared" si="3"/>
        <v>120.85120000000001</v>
      </c>
    </row>
    <row r="52" spans="1:17" s="49" customFormat="1" ht="49.5" x14ac:dyDescent="0.25">
      <c r="A52" s="103" t="str">
        <f t="shared" si="12"/>
        <v>7f</v>
      </c>
      <c r="B52" s="224"/>
      <c r="C52" s="252"/>
      <c r="D52" s="221"/>
      <c r="E52" s="83" t="s">
        <v>46</v>
      </c>
      <c r="F52" s="85" t="s">
        <v>101</v>
      </c>
      <c r="G52" s="116" t="s">
        <v>39</v>
      </c>
      <c r="H52" s="117" t="s">
        <v>226</v>
      </c>
      <c r="I52" s="108" t="str">
        <f t="shared" si="2"/>
        <v>Mantenimiento del control</v>
      </c>
      <c r="J52" s="105">
        <f t="shared" si="13"/>
        <v>120</v>
      </c>
      <c r="K52" s="105">
        <v>0.85123000000000004</v>
      </c>
      <c r="L52" s="105">
        <f t="shared" si="3"/>
        <v>120.85123</v>
      </c>
    </row>
    <row r="53" spans="1:17" s="49" customFormat="1" ht="50.25" thickBot="1" x14ac:dyDescent="0.3">
      <c r="A53" s="103" t="str">
        <f t="shared" si="12"/>
        <v>7g</v>
      </c>
      <c r="B53" s="225"/>
      <c r="C53" s="253"/>
      <c r="D53" s="222"/>
      <c r="E53" s="86" t="s">
        <v>48</v>
      </c>
      <c r="F53" s="87" t="s">
        <v>102</v>
      </c>
      <c r="G53" s="118" t="s">
        <v>39</v>
      </c>
      <c r="H53" s="119" t="s">
        <v>227</v>
      </c>
      <c r="I53" s="109" t="str">
        <f t="shared" si="2"/>
        <v>Mantenimiento del control</v>
      </c>
      <c r="J53" s="105">
        <f t="shared" si="13"/>
        <v>120</v>
      </c>
      <c r="K53" s="105">
        <v>0.85123400000000005</v>
      </c>
      <c r="L53" s="105">
        <f t="shared" si="3"/>
        <v>120.85123400000001</v>
      </c>
    </row>
    <row r="54" spans="1:17" s="49" customFormat="1" ht="102.75" customHeight="1" thickBot="1" x14ac:dyDescent="0.3">
      <c r="A54" s="103" t="str">
        <f>8&amp;E54</f>
        <v>8h</v>
      </c>
      <c r="B54" s="162" t="s">
        <v>103</v>
      </c>
      <c r="C54" s="163" t="s">
        <v>97</v>
      </c>
      <c r="D54" s="76" t="s">
        <v>104</v>
      </c>
      <c r="E54" s="81" t="s">
        <v>50</v>
      </c>
      <c r="F54" s="82" t="s">
        <v>105</v>
      </c>
      <c r="G54" s="112" t="s">
        <v>36</v>
      </c>
      <c r="H54" s="113" t="s">
        <v>228</v>
      </c>
      <c r="I54" s="104" t="str">
        <f t="shared" si="2"/>
        <v>Deficiencia de control</v>
      </c>
      <c r="J54" s="105">
        <f t="shared" si="13"/>
        <v>80</v>
      </c>
      <c r="K54" s="105">
        <v>0.85123450000000001</v>
      </c>
      <c r="L54" s="105">
        <f t="shared" si="3"/>
        <v>80.851234500000004</v>
      </c>
    </row>
    <row r="55" spans="1:17" s="49" customFormat="1" ht="54.75" customHeight="1" x14ac:dyDescent="0.25">
      <c r="A55" s="103" t="str">
        <f>9&amp;E55</f>
        <v>9a</v>
      </c>
      <c r="B55" s="223" t="s">
        <v>106</v>
      </c>
      <c r="C55" s="251" t="s">
        <v>97</v>
      </c>
      <c r="D55" s="220" t="s">
        <v>107</v>
      </c>
      <c r="E55" s="81" t="s">
        <v>34</v>
      </c>
      <c r="F55" s="82" t="s">
        <v>108</v>
      </c>
      <c r="G55" s="112" t="s">
        <v>39</v>
      </c>
      <c r="H55" s="113" t="s">
        <v>229</v>
      </c>
      <c r="I55" s="104" t="str">
        <f t="shared" si="2"/>
        <v>Mantenimiento del control</v>
      </c>
      <c r="J55" s="105">
        <f t="shared" si="13"/>
        <v>120</v>
      </c>
      <c r="K55" s="110">
        <v>0.85123455999999997</v>
      </c>
      <c r="L55" s="105">
        <f t="shared" si="3"/>
        <v>120.85123455999999</v>
      </c>
      <c r="M55" s="48"/>
      <c r="N55" s="48"/>
      <c r="O55" s="48"/>
      <c r="P55" s="48"/>
      <c r="Q55" s="48"/>
    </row>
    <row r="56" spans="1:17" s="49" customFormat="1" ht="55.5" customHeight="1" x14ac:dyDescent="0.25">
      <c r="A56" s="103" t="str">
        <f t="shared" ref="A56:A59" si="14">9&amp;E56</f>
        <v>9b</v>
      </c>
      <c r="B56" s="224"/>
      <c r="C56" s="252"/>
      <c r="D56" s="221"/>
      <c r="E56" s="83" t="s">
        <v>37</v>
      </c>
      <c r="F56" s="85" t="s">
        <v>109</v>
      </c>
      <c r="G56" s="116" t="s">
        <v>39</v>
      </c>
      <c r="H56" s="117" t="s">
        <v>230</v>
      </c>
      <c r="I56" s="108" t="str">
        <f t="shared" si="2"/>
        <v>Mantenimiento del control</v>
      </c>
      <c r="J56" s="105">
        <f t="shared" si="13"/>
        <v>120</v>
      </c>
      <c r="K56" s="110">
        <v>0.851234567</v>
      </c>
      <c r="L56" s="105">
        <f t="shared" si="3"/>
        <v>120.85123456700001</v>
      </c>
      <c r="M56" s="48"/>
      <c r="N56" s="48"/>
      <c r="O56" s="48"/>
      <c r="P56" s="48"/>
      <c r="Q56" s="48"/>
    </row>
    <row r="57" spans="1:17" s="49" customFormat="1" ht="77.25" customHeight="1" x14ac:dyDescent="0.25">
      <c r="A57" s="103" t="str">
        <f t="shared" si="14"/>
        <v>9c</v>
      </c>
      <c r="B57" s="224"/>
      <c r="C57" s="252"/>
      <c r="D57" s="221"/>
      <c r="E57" s="83" t="s">
        <v>40</v>
      </c>
      <c r="F57" s="85" t="s">
        <v>110</v>
      </c>
      <c r="G57" s="116" t="s">
        <v>39</v>
      </c>
      <c r="H57" s="117" t="s">
        <v>231</v>
      </c>
      <c r="I57" s="108" t="str">
        <f t="shared" si="2"/>
        <v>Mantenimiento del control</v>
      </c>
      <c r="J57" s="105">
        <f t="shared" si="13"/>
        <v>120</v>
      </c>
      <c r="K57" s="110">
        <v>0.85123456779999995</v>
      </c>
      <c r="L57" s="105">
        <f t="shared" si="3"/>
        <v>120.85123456780001</v>
      </c>
      <c r="M57" s="48"/>
      <c r="N57" s="48"/>
      <c r="O57" s="48"/>
      <c r="P57" s="48"/>
      <c r="Q57" s="48"/>
    </row>
    <row r="58" spans="1:17" s="49" customFormat="1" ht="77.25" customHeight="1" x14ac:dyDescent="0.25">
      <c r="A58" s="103" t="str">
        <f t="shared" si="14"/>
        <v>9d</v>
      </c>
      <c r="B58" s="224"/>
      <c r="C58" s="252"/>
      <c r="D58" s="221"/>
      <c r="E58" s="83" t="s">
        <v>42</v>
      </c>
      <c r="F58" s="85" t="s">
        <v>111</v>
      </c>
      <c r="G58" s="116" t="s">
        <v>39</v>
      </c>
      <c r="H58" s="117" t="s">
        <v>232</v>
      </c>
      <c r="I58" s="108" t="str">
        <f t="shared" si="2"/>
        <v>Mantenimiento del control</v>
      </c>
      <c r="J58" s="105">
        <f t="shared" si="13"/>
        <v>120</v>
      </c>
      <c r="K58" s="110">
        <v>0.85123456788999996</v>
      </c>
      <c r="L58" s="105">
        <f t="shared" si="3"/>
        <v>120.85123456789</v>
      </c>
      <c r="M58" s="48"/>
      <c r="N58" s="48"/>
      <c r="O58" s="48"/>
      <c r="P58" s="48"/>
      <c r="Q58" s="48"/>
    </row>
    <row r="59" spans="1:17" s="49" customFormat="1" ht="77.25" customHeight="1" thickBot="1" x14ac:dyDescent="0.3">
      <c r="A59" s="103" t="str">
        <f t="shared" si="14"/>
        <v>9e</v>
      </c>
      <c r="B59" s="225"/>
      <c r="C59" s="252"/>
      <c r="D59" s="238"/>
      <c r="E59" s="86" t="s">
        <v>44</v>
      </c>
      <c r="F59" s="87" t="s">
        <v>112</v>
      </c>
      <c r="G59" s="118" t="s">
        <v>39</v>
      </c>
      <c r="H59" s="119" t="s">
        <v>233</v>
      </c>
      <c r="I59" s="109" t="str">
        <f t="shared" si="2"/>
        <v>Mantenimiento del control</v>
      </c>
      <c r="J59" s="105">
        <f t="shared" si="13"/>
        <v>120</v>
      </c>
      <c r="K59" s="110">
        <v>0.85123456789100005</v>
      </c>
      <c r="L59" s="105">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xr:uid="{00000000-0002-0000-0100-000000000000}">
      <formula1>"Si, No, En proceso"</formula1>
    </dataValidation>
    <dataValidation type="list" allowBlank="1" showInputMessage="1" showErrorMessage="1" sqref="G54" xr:uid="{00000000-0002-0000-0100-000001000000}">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74"/>
  <sheetViews>
    <sheetView topLeftCell="A52" zoomScale="80" zoomScaleNormal="80" workbookViewId="0">
      <selection activeCell="M12" sqref="M12"/>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63" t="s">
        <v>113</v>
      </c>
      <c r="D7" s="264"/>
      <c r="E7" s="264"/>
      <c r="F7" s="264"/>
      <c r="G7" s="264"/>
      <c r="H7" s="264"/>
      <c r="I7" s="264"/>
      <c r="J7" s="264"/>
      <c r="K7" s="265"/>
    </row>
    <row r="8" spans="1:11" s="1" customFormat="1" ht="15.75" thickBot="1" x14ac:dyDescent="0.3">
      <c r="C8" s="39"/>
      <c r="D8" s="39"/>
      <c r="E8" s="40"/>
      <c r="F8" s="40"/>
      <c r="G8" s="40"/>
      <c r="H8" s="40"/>
      <c r="I8" s="50"/>
      <c r="J8" s="40"/>
      <c r="K8" s="40"/>
    </row>
    <row r="9" spans="1:11" ht="21" thickBot="1" x14ac:dyDescent="0.3">
      <c r="A9" s="1"/>
      <c r="B9" s="1"/>
      <c r="C9" s="172" t="s">
        <v>15</v>
      </c>
      <c r="D9" s="173"/>
      <c r="E9" s="173" t="s">
        <v>16</v>
      </c>
      <c r="F9" s="184"/>
      <c r="G9" s="40"/>
      <c r="H9" s="40"/>
      <c r="I9" s="50"/>
      <c r="J9" s="40"/>
      <c r="K9" s="40"/>
    </row>
    <row r="10" spans="1:11" ht="54" customHeight="1" x14ac:dyDescent="0.25">
      <c r="A10" s="1"/>
      <c r="B10" s="1"/>
      <c r="C10" s="185" t="s">
        <v>17</v>
      </c>
      <c r="D10" s="186"/>
      <c r="E10" s="187" t="s">
        <v>18</v>
      </c>
      <c r="F10" s="188"/>
      <c r="G10" s="41"/>
      <c r="H10" s="42">
        <v>1</v>
      </c>
      <c r="I10" s="50"/>
      <c r="J10" s="40"/>
      <c r="K10" s="40"/>
    </row>
    <row r="11" spans="1:11" ht="46.5" customHeight="1" x14ac:dyDescent="0.25">
      <c r="A11" s="1"/>
      <c r="B11" s="1"/>
      <c r="C11" s="174" t="s">
        <v>19</v>
      </c>
      <c r="D11" s="175"/>
      <c r="E11" s="176" t="s">
        <v>114</v>
      </c>
      <c r="F11" s="177"/>
      <c r="G11" s="43" t="s">
        <v>115</v>
      </c>
      <c r="H11" s="42">
        <v>0.75</v>
      </c>
      <c r="I11" s="50"/>
      <c r="J11" s="40"/>
      <c r="K11" s="40"/>
    </row>
    <row r="12" spans="1:11" ht="70.5" customHeight="1" thickBot="1" x14ac:dyDescent="0.3">
      <c r="A12" s="1"/>
      <c r="B12" s="1"/>
      <c r="C12" s="178" t="s">
        <v>21</v>
      </c>
      <c r="D12" s="179"/>
      <c r="E12" s="180" t="s">
        <v>116</v>
      </c>
      <c r="F12" s="181"/>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71" t="s">
        <v>117</v>
      </c>
      <c r="D17" s="273" t="s">
        <v>118</v>
      </c>
      <c r="E17" s="274"/>
      <c r="F17" s="275" t="s">
        <v>119</v>
      </c>
      <c r="G17" s="277" t="s">
        <v>120</v>
      </c>
      <c r="H17" s="38"/>
      <c r="I17" s="266" t="s">
        <v>121</v>
      </c>
      <c r="J17" s="266" t="s">
        <v>122</v>
      </c>
    </row>
    <row r="18" spans="1:10" ht="36" customHeight="1" thickBot="1" x14ac:dyDescent="0.3">
      <c r="A18" s="1"/>
      <c r="B18" s="1"/>
      <c r="C18" s="272"/>
      <c r="D18" s="122" t="s">
        <v>123</v>
      </c>
      <c r="E18" s="123" t="s">
        <v>27</v>
      </c>
      <c r="F18" s="276"/>
      <c r="G18" s="278"/>
      <c r="H18" s="38"/>
      <c r="I18" s="267"/>
      <c r="J18" s="267"/>
    </row>
    <row r="19" spans="1:10" ht="65.25" customHeight="1" x14ac:dyDescent="0.25">
      <c r="A19" s="1"/>
      <c r="B19" s="1"/>
      <c r="C19" s="141">
        <v>1</v>
      </c>
      <c r="D19" s="268" t="s">
        <v>32</v>
      </c>
      <c r="E19" s="124" t="str">
        <f>+IFERROR(INDEX(Hoja1!$E$2:$E$45,MATCH('Análisis Resultados'!C19,Hoja1!$H$2:$H$45,0)),"")</f>
        <v>Documento interno o adopción del MECI actualizado</v>
      </c>
      <c r="F19" s="125" t="str">
        <f>+IFERROR(VLOOKUP(C19,Hoja1!$H$2:$I$45,2,0),"")</f>
        <v>Si</v>
      </c>
      <c r="G19" s="126"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19" s="18"/>
      <c r="I19" s="142">
        <f>+IF(F19="Si",1,IF(F19="En proceso",0.5,0))</f>
        <v>1</v>
      </c>
      <c r="J19" s="281">
        <f>+AVERAGE(I19:I30)</f>
        <v>1</v>
      </c>
    </row>
    <row r="20" spans="1:10" ht="57" x14ac:dyDescent="0.25">
      <c r="A20" s="1"/>
      <c r="B20" s="1"/>
      <c r="C20" s="141">
        <v>2</v>
      </c>
      <c r="D20" s="269"/>
      <c r="E20" s="127" t="str">
        <f>+IFERROR(INDEX(Hoja1!$E$2:$E$45,MATCH('Análisis Resultados'!C20,Hoja1!$H$2:$H$45,0)),"")</f>
        <v>Un documento tal como un código de ética, integridad u otro que formalice los estándares de conducta, los principios institucionales o los valores del servicio público</v>
      </c>
      <c r="F20" s="128" t="str">
        <f>+IFERROR(VLOOKUP(C20,Hoja1!$H$2:$I$45,2,0),"")</f>
        <v>Si</v>
      </c>
      <c r="G20" s="129"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43">
        <f t="shared" ref="I20:I62" si="1">+IF(F20="Si",1,IF(F20="En proceso",0.5,0))</f>
        <v>1</v>
      </c>
      <c r="J20" s="282"/>
    </row>
    <row r="21" spans="1:10" ht="45" x14ac:dyDescent="0.25">
      <c r="A21" s="1"/>
      <c r="B21" s="1"/>
      <c r="C21" s="141">
        <v>3</v>
      </c>
      <c r="D21" s="269"/>
      <c r="E21" s="127" t="str">
        <f>+IFERROR(INDEX(Hoja1!$E$2:$E$45,MATCH('Análisis Resultados'!C21,Hoja1!$H$2:$H$45,0)),"")</f>
        <v>Planes, programas y proyectos de acuerdo con las normas que rigen y atendiendo con su propósito fundamental institucional (misión)</v>
      </c>
      <c r="F21" s="128" t="str">
        <f>+IFERROR(VLOOKUP(C21,Hoja1!$H$2:$I$45,2,0),"")</f>
        <v>Si</v>
      </c>
      <c r="G21" s="129" t="str">
        <f t="shared" si="0"/>
        <v>Existe requerimiento pero se requiere actividades  dirigidas a su mantenimiento dentro del marco de las lineas de defensa.</v>
      </c>
      <c r="H21" s="18"/>
      <c r="I21" s="143">
        <f t="shared" si="1"/>
        <v>1</v>
      </c>
      <c r="J21" s="282"/>
    </row>
    <row r="22" spans="1:10" ht="56.25" customHeight="1" x14ac:dyDescent="0.25">
      <c r="A22" s="1"/>
      <c r="B22" s="1"/>
      <c r="C22" s="141">
        <v>4</v>
      </c>
      <c r="D22" s="269"/>
      <c r="E22" s="127" t="str">
        <f>+IFERROR(INDEX(Hoja1!$E$2:$E$45,MATCH('Análisis Resultados'!C22,Hoja1!$H$2:$H$45,0)),"")</f>
        <v>Una estructura organizacional formalizada (organigrama)</v>
      </c>
      <c r="F22" s="128" t="str">
        <f>+IFERROR(VLOOKUP(C22,Hoja1!$H$2:$I$45,2,0),"")</f>
        <v>Si</v>
      </c>
      <c r="G22" s="129" t="str">
        <f t="shared" si="0"/>
        <v>Existe requerimiento pero se requiere actividades  dirigidas a su mantenimiento dentro del marco de las lineas de defensa.</v>
      </c>
      <c r="H22" s="18"/>
      <c r="I22" s="143">
        <f t="shared" si="1"/>
        <v>1</v>
      </c>
      <c r="J22" s="282"/>
    </row>
    <row r="23" spans="1:10" ht="45" x14ac:dyDescent="0.25">
      <c r="A23" s="1"/>
      <c r="B23" s="1"/>
      <c r="C23" s="141">
        <v>5</v>
      </c>
      <c r="D23" s="269"/>
      <c r="E23" s="127" t="str">
        <f>+IFERROR(INDEX(Hoja1!$E$2:$E$45,MATCH('Análisis Resultados'!C23,Hoja1!$H$2:$H$45,0)),"")</f>
        <v>Un manual de funciones que describa los empleos de la entidad</v>
      </c>
      <c r="F23" s="128" t="str">
        <f>+IFERROR(VLOOKUP(C23,Hoja1!$H$2:$I$45,2,0),"")</f>
        <v>Si</v>
      </c>
      <c r="G23" s="129" t="str">
        <f t="shared" si="0"/>
        <v>Existe requerimiento pero se requiere actividades  dirigidas a su mantenimiento dentro del marco de las lineas de defensa.</v>
      </c>
      <c r="H23" s="18"/>
      <c r="I23" s="143">
        <f t="shared" si="1"/>
        <v>1</v>
      </c>
      <c r="J23" s="282"/>
    </row>
    <row r="24" spans="1:10" ht="45" x14ac:dyDescent="0.25">
      <c r="A24" s="1"/>
      <c r="B24" s="1"/>
      <c r="C24" s="141">
        <v>6</v>
      </c>
      <c r="D24" s="269"/>
      <c r="E24" s="127" t="str">
        <f>+IFERROR(INDEX(Hoja1!$E$2:$E$45,MATCH('Análisis Resultados'!C24,Hoja1!$H$2:$H$45,0)),"")</f>
        <v>La documentación de sus procesos y procedimientos o bien una lista de actividades principales que permitan conocer el estado de su gestión</v>
      </c>
      <c r="F24" s="128" t="str">
        <f>+IFERROR(VLOOKUP(C24,Hoja1!$H$2:$I$45,2,0),"")</f>
        <v>Si</v>
      </c>
      <c r="G24" s="129" t="str">
        <f t="shared" si="0"/>
        <v>Existe requerimiento pero se requiere actividades  dirigidas a su mantenimiento dentro del marco de las lineas de defensa.</v>
      </c>
      <c r="H24" s="18"/>
      <c r="I24" s="143">
        <f t="shared" si="1"/>
        <v>1</v>
      </c>
      <c r="J24" s="282"/>
    </row>
    <row r="25" spans="1:10" ht="45" x14ac:dyDescent="0.25">
      <c r="A25" s="1"/>
      <c r="B25" s="1"/>
      <c r="C25" s="141">
        <v>7</v>
      </c>
      <c r="D25" s="269"/>
      <c r="E25" s="127" t="str">
        <f>+IFERROR(INDEX(Hoja1!$E$2:$E$45,MATCH('Análisis Resultados'!C25,Hoja1!$H$2:$H$45,0)),"")</f>
        <v>Vinculación de los servidores públicos de acuerdo con el marco normativo que les rige (carrera administrativa, libre nombramiento y remoción, entre otros)</v>
      </c>
      <c r="F25" s="128" t="str">
        <f>+IFERROR(VLOOKUP(C25,Hoja1!$H$2:$I$45,2,0),"")</f>
        <v>Si</v>
      </c>
      <c r="G25" s="129" t="str">
        <f t="shared" si="0"/>
        <v>Existe requerimiento pero se requiere actividades  dirigidas a su mantenimiento dentro del marco de las lineas de defensa.</v>
      </c>
      <c r="H25" s="18"/>
      <c r="I25" s="143">
        <f t="shared" si="1"/>
        <v>1</v>
      </c>
      <c r="J25" s="282"/>
    </row>
    <row r="26" spans="1:10" ht="45" x14ac:dyDescent="0.25">
      <c r="A26" s="1"/>
      <c r="B26" s="1"/>
      <c r="C26" s="141">
        <v>8</v>
      </c>
      <c r="D26" s="269"/>
      <c r="E26" s="127" t="str">
        <f>+IFERROR(INDEX(Hoja1!$E$2:$E$45,MATCH('Análisis Resultados'!C26,Hoja1!$H$2:$H$45,0)),"")</f>
        <v>Procesos de inducción, capacitación y bienestar social para sus servidores públicos, de manera directa o en asociación con otras entidades municipales</v>
      </c>
      <c r="F26" s="128" t="str">
        <f>+IFERROR(VLOOKUP(C26,Hoja1!$H$2:$I$45,2,0),"")</f>
        <v>Si</v>
      </c>
      <c r="G26" s="129" t="str">
        <f t="shared" si="0"/>
        <v>Existe requerimiento pero se requiere actividades  dirigidas a su mantenimiento dentro del marco de las lineas de defensa.</v>
      </c>
      <c r="H26" s="18"/>
      <c r="I26" s="143">
        <f t="shared" si="1"/>
        <v>1</v>
      </c>
      <c r="J26" s="282"/>
    </row>
    <row r="27" spans="1:10" ht="45" x14ac:dyDescent="0.25">
      <c r="A27" s="1"/>
      <c r="B27" s="1"/>
      <c r="C27" s="141">
        <v>9</v>
      </c>
      <c r="D27" s="269"/>
      <c r="E27" s="127" t="str">
        <f>+IFERROR(INDEX(Hoja1!$E$2:$E$45,MATCH('Análisis Resultados'!C27,Hoja1!$H$2:$H$45,0)),"")</f>
        <v>Evaluación a los servidores públicos de acuerdo con el marco normativo que le rige</v>
      </c>
      <c r="F27" s="128" t="str">
        <f>+IFERROR(VLOOKUP(C27,Hoja1!$H$2:$I$45,2,0),"")</f>
        <v>Si</v>
      </c>
      <c r="G27" s="129" t="str">
        <f t="shared" si="0"/>
        <v>Existe requerimiento pero se requiere actividades  dirigidas a su mantenimiento dentro del marco de las lineas de defensa.</v>
      </c>
      <c r="H27" s="18"/>
      <c r="I27" s="143">
        <f t="shared" si="1"/>
        <v>1</v>
      </c>
      <c r="J27" s="282"/>
    </row>
    <row r="28" spans="1:10" ht="45" x14ac:dyDescent="0.25">
      <c r="A28" s="1"/>
      <c r="B28" s="1"/>
      <c r="C28" s="141">
        <v>10</v>
      </c>
      <c r="D28" s="269"/>
      <c r="E28" s="127" t="str">
        <f>+IFERROR(INDEX(Hoja1!$E$2:$E$45,MATCH('Análisis Resultados'!C28,Hoja1!$H$2:$H$45,0)),"")</f>
        <v>Procesos de desvinculación de servidores de acuerdo con lo previsto en la Constitución Política y las leyes</v>
      </c>
      <c r="F28" s="128" t="str">
        <f>+IFERROR(VLOOKUP(C28,Hoja1!$H$2:$I$45,2,0),"")</f>
        <v>Si</v>
      </c>
      <c r="G28" s="129" t="str">
        <f t="shared" si="0"/>
        <v>Existe requerimiento pero se requiere actividades  dirigidas a su mantenimiento dentro del marco de las lineas de defensa.</v>
      </c>
      <c r="H28" s="18"/>
      <c r="I28" s="143">
        <f t="shared" si="1"/>
        <v>1</v>
      </c>
      <c r="J28" s="282"/>
    </row>
    <row r="29" spans="1:10" ht="45" x14ac:dyDescent="0.25">
      <c r="A29" s="1"/>
      <c r="B29" s="1"/>
      <c r="C29" s="141">
        <v>11</v>
      </c>
      <c r="D29" s="269"/>
      <c r="E29" s="127" t="str">
        <f>+IFERROR(INDEX(Hoja1!$E$2:$E$45,MATCH('Análisis Resultados'!C29,Hoja1!$H$2:$H$45,0)),"")</f>
        <v>Mecanismos de rendición de cuentas a la ciudadanía</v>
      </c>
      <c r="F29" s="128" t="str">
        <f>+IFERROR(VLOOKUP(C29,Hoja1!$H$2:$I$45,2,0),"")</f>
        <v>Si</v>
      </c>
      <c r="G29" s="129"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3">
        <f t="shared" si="1"/>
        <v>1</v>
      </c>
      <c r="J29" s="282"/>
    </row>
    <row r="30" spans="1:10" ht="45.75" thickBot="1" x14ac:dyDescent="0.3">
      <c r="A30" s="1"/>
      <c r="B30" s="1"/>
      <c r="C30" s="141">
        <v>12</v>
      </c>
      <c r="D30" s="270"/>
      <c r="E30" s="130" t="str">
        <f>+IFERROR(INDEX(Hoja1!$E$2:$E$45,MATCH('Análisis Resultados'!C30,Hoja1!$H$2:$H$45,0)),"")</f>
        <v>Presentación oportuna de sus informes de gestión a las autoridades competentes</v>
      </c>
      <c r="F30" s="131" t="str">
        <f>+IFERROR(VLOOKUP(C30,Hoja1!$H$2:$I$45,2,0),"")</f>
        <v>Si</v>
      </c>
      <c r="G30" s="132" t="str">
        <f t="shared" si="0"/>
        <v>Existe requerimiento pero se requiere actividades  dirigidas a su mantenimiento dentro del marco de las lineas de defensa.</v>
      </c>
      <c r="H30" s="18"/>
      <c r="I30" s="144">
        <f t="shared" si="1"/>
        <v>1</v>
      </c>
      <c r="J30" s="283"/>
    </row>
    <row r="31" spans="1:10" ht="45" customHeight="1" x14ac:dyDescent="0.25">
      <c r="A31" s="1"/>
      <c r="B31" s="1"/>
      <c r="C31" s="141">
        <v>13</v>
      </c>
      <c r="D31" s="295" t="s">
        <v>61</v>
      </c>
      <c r="E31" s="124" t="str">
        <f>+IFERROR(INDEX(Hoja1!$E$2:$E$45,MATCH('Análisis Resultados'!C31,Hoja1!$H$2:$H$45,0)),"")</f>
        <v>Informan de manera periódica a quien corresponda sobre el desempeño de las actividades de gestión de riesgos</v>
      </c>
      <c r="F31" s="125" t="str">
        <f>+IFERROR(VLOOKUP(C31,Hoja1!$H$2:$I$45,2,0),"")</f>
        <v>En proceso</v>
      </c>
      <c r="G31" s="126" t="str">
        <f t="shared" si="0"/>
        <v>Se encuentra en proceso, pero requiere continuar con acciones dirigidas a contar con dicho aspecto de control.</v>
      </c>
      <c r="H31" s="18"/>
      <c r="I31" s="142">
        <f t="shared" si="1"/>
        <v>0.5</v>
      </c>
      <c r="J31" s="279">
        <f>+AVERAGE(I31:I40)</f>
        <v>0.95</v>
      </c>
    </row>
    <row r="32" spans="1:10" ht="57" customHeight="1" x14ac:dyDescent="0.25">
      <c r="A32" s="1"/>
      <c r="B32" s="1"/>
      <c r="C32" s="141">
        <v>14</v>
      </c>
      <c r="D32" s="296"/>
      <c r="E32" s="127" t="str">
        <f>+IFERROR(INDEX(Hoja1!$E$2:$E$45,MATCH('Análisis Resultados'!C32,Hoja1!$H$2:$H$45,0)),"")</f>
        <v>La identificación de cambios en su entorno que pueden generar consecuencias negativas en su gestión</v>
      </c>
      <c r="F32" s="128" t="str">
        <f>+IFERROR(VLOOKUP(C32,Hoja1!$H$2:$I$45,2,0),"")</f>
        <v>Si</v>
      </c>
      <c r="G32" s="129" t="str">
        <f t="shared" si="0"/>
        <v>Existe requerimiento pero se requiere actividades  dirigidas a su mantenimiento dentro del marco de las lineas de defensa.</v>
      </c>
      <c r="H32" s="18"/>
      <c r="I32" s="143">
        <f t="shared" si="1"/>
        <v>1</v>
      </c>
      <c r="J32" s="280"/>
    </row>
    <row r="33" spans="1:10" ht="54" customHeight="1" x14ac:dyDescent="0.25">
      <c r="A33" s="1"/>
      <c r="B33" s="1"/>
      <c r="C33" s="141">
        <v>15</v>
      </c>
      <c r="D33" s="296"/>
      <c r="E33" s="127" t="str">
        <f>+IFERROR(INDEX(Hoja1!$E$2:$E$45,MATCH('Análisis Resultados'!C33,Hoja1!$H$2:$H$45,0)),"")</f>
        <v>La identificación de aquellos problemas o aspectos que pueden afectar el cumplimiento de los planes de la entidad y en general su gestión institucional (riesgos)</v>
      </c>
      <c r="F33" s="128" t="str">
        <f>+IFERROR(VLOOKUP(C33,Hoja1!$H$2:$I$45,2,0),"")</f>
        <v>Si</v>
      </c>
      <c r="G33" s="129" t="str">
        <f t="shared" si="0"/>
        <v>Existe requerimiento pero se requiere actividades  dirigidas a su mantenimiento dentro del marco de las lineas de defensa.</v>
      </c>
      <c r="H33" s="18"/>
      <c r="I33" s="143">
        <f t="shared" si="1"/>
        <v>1</v>
      </c>
      <c r="J33" s="280"/>
    </row>
    <row r="34" spans="1:10" ht="45" x14ac:dyDescent="0.25">
      <c r="A34" s="1"/>
      <c r="B34" s="1"/>
      <c r="C34" s="141">
        <v>16</v>
      </c>
      <c r="D34" s="296"/>
      <c r="E34" s="127" t="str">
        <f>+IFERROR(INDEX(Hoja1!$E$2:$E$45,MATCH('Análisis Resultados'!C34,Hoja1!$H$2:$H$45,0)),"")</f>
        <v>La identificación  de los riesgos relacionados con posibles actos de corrupción en el ejercicio de sus funciones</v>
      </c>
      <c r="F34" s="128" t="str">
        <f>+IFERROR(VLOOKUP(C34,Hoja1!$H$2:$I$45,2,0),"")</f>
        <v>Si</v>
      </c>
      <c r="G34" s="129" t="str">
        <f t="shared" si="0"/>
        <v>Existe requerimiento pero se requiere actividades  dirigidas a su mantenimiento dentro del marco de las lineas de defensa.</v>
      </c>
      <c r="H34" s="18"/>
      <c r="I34" s="143">
        <f t="shared" si="1"/>
        <v>1</v>
      </c>
      <c r="J34" s="280"/>
    </row>
    <row r="35" spans="1:10" ht="67.5" customHeight="1" x14ac:dyDescent="0.25">
      <c r="A35" s="1"/>
      <c r="B35" s="1"/>
      <c r="C35" s="141">
        <v>17</v>
      </c>
      <c r="D35" s="296"/>
      <c r="E35" s="127" t="str">
        <f>+IFERROR(INDEX(Hoja1!$E$2:$E$45,MATCH('Análisis Resultados'!C35,Hoja1!$H$2:$H$45,0)),"")</f>
        <v>Si su capacidad e infraestructura lo permite, identificación de riesgos asociados a las tecnologías de la información y las comunicaciones</v>
      </c>
      <c r="F35" s="128" t="str">
        <f>+IFERROR(VLOOKUP(C35,Hoja1!$H$2:$I$45,2,0),"")</f>
        <v>Si</v>
      </c>
      <c r="G35" s="129" t="str">
        <f t="shared" si="0"/>
        <v>Existe requerimiento pero se requiere actividades  dirigidas a su mantenimiento dentro del marco de las lineas de defensa.</v>
      </c>
      <c r="H35" s="18"/>
      <c r="I35" s="143">
        <f t="shared" si="1"/>
        <v>1</v>
      </c>
      <c r="J35" s="280"/>
    </row>
    <row r="36" spans="1:10" ht="45" x14ac:dyDescent="0.25">
      <c r="A36" s="1"/>
      <c r="B36" s="1"/>
      <c r="C36" s="141">
        <v>18</v>
      </c>
      <c r="D36" s="296"/>
      <c r="E36" s="127" t="str">
        <f>+IFERROR(INDEX(Hoja1!$E$2:$E$45,MATCH('Análisis Resultados'!C36,Hoja1!$H$2:$H$45,0)),"")</f>
        <v>Hacen seguimiento a los problemas (riesgos)  que pueden afectar el cumplimiento de sus procesos, programas o proyectos a cargo</v>
      </c>
      <c r="F36" s="128" t="str">
        <f>+IFERROR(VLOOKUP(C36,Hoja1!$H$2:$I$45,2,0),"")</f>
        <v>Si</v>
      </c>
      <c r="G36" s="129" t="str">
        <f t="shared" si="0"/>
        <v>Existe requerimiento pero se requiere actividades  dirigidas a su mantenimiento dentro del marco de las lineas de defensa.</v>
      </c>
      <c r="H36" s="18"/>
      <c r="I36" s="143">
        <f t="shared" si="1"/>
        <v>1</v>
      </c>
      <c r="J36" s="280"/>
    </row>
    <row r="37" spans="1:10" ht="57" customHeight="1" x14ac:dyDescent="0.25">
      <c r="A37" s="1"/>
      <c r="B37" s="1"/>
      <c r="C37" s="141">
        <v>19</v>
      </c>
      <c r="D37" s="296"/>
      <c r="E37" s="127" t="str">
        <f>+IFERROR(INDEX(Hoja1!$E$2:$E$45,MATCH('Análisis Resultados'!C37,Hoja1!$H$2:$H$45,0)),"")</f>
        <v>Identifican deficiencias en las maneras de  controlar los riesgos o problemas en sus procesos, programas o proyectos, y propone los ajustes necesarios</v>
      </c>
      <c r="F37" s="128" t="str">
        <f>+IFERROR(VLOOKUP(C37,Hoja1!$H$2:$I$45,2,0),"")</f>
        <v>Si</v>
      </c>
      <c r="G37" s="129" t="str">
        <f t="shared" si="0"/>
        <v>Existe requerimiento pero se requiere actividades  dirigidas a su mantenimiento dentro del marco de las lineas de defensa.</v>
      </c>
      <c r="H37" s="18"/>
      <c r="I37" s="143">
        <f t="shared" si="1"/>
        <v>1</v>
      </c>
      <c r="J37" s="280"/>
    </row>
    <row r="38" spans="1:10" ht="45" x14ac:dyDescent="0.25">
      <c r="A38" s="1"/>
      <c r="B38" s="1"/>
      <c r="C38" s="141">
        <v>20</v>
      </c>
      <c r="D38" s="296"/>
      <c r="E38" s="127" t="str">
        <f>+IFERROR(INDEX(Hoja1!$E$2:$E$45,MATCH('Análisis Resultados'!C38,Hoja1!$H$2:$H$45,0)),"")</f>
        <v>Se definen espacios de reunión para conocerlos y proponer acciones para su solución</v>
      </c>
      <c r="F38" s="128" t="str">
        <f>+IFERROR(VLOOKUP(C38,Hoja1!$H$2:$I$45,2,0),"")</f>
        <v>Si</v>
      </c>
      <c r="G38" s="129" t="str">
        <f t="shared" si="0"/>
        <v>Existe requerimiento pero se requiere actividades  dirigidas a su mantenimiento dentro del marco de las lineas de defensa.</v>
      </c>
      <c r="H38" s="18"/>
      <c r="I38" s="143">
        <f t="shared" si="1"/>
        <v>1</v>
      </c>
      <c r="J38" s="280"/>
    </row>
    <row r="39" spans="1:10" ht="45" x14ac:dyDescent="0.25">
      <c r="A39" s="1"/>
      <c r="B39" s="1"/>
      <c r="C39" s="141">
        <v>21</v>
      </c>
      <c r="D39" s="296"/>
      <c r="E39" s="127" t="str">
        <f>+IFERROR(INDEX(Hoja1!$E$2:$E$45,MATCH('Análisis Resultados'!C39,Hoja1!$H$2:$H$45,0)),"")</f>
        <v>Cada líder del equipo autónomamente toma las acciones para solucionarlos.</v>
      </c>
      <c r="F39" s="128" t="str">
        <f>+IFERROR(VLOOKUP(C39,Hoja1!$H$2:$I$45,2,0),"")</f>
        <v>Si</v>
      </c>
      <c r="G39" s="129" t="str">
        <f t="shared" si="0"/>
        <v>Existe requerimiento pero se requiere actividades  dirigidas a su mantenimiento dentro del marco de las lineas de defensa.</v>
      </c>
      <c r="H39" s="18"/>
      <c r="I39" s="143">
        <f t="shared" si="1"/>
        <v>1</v>
      </c>
      <c r="J39" s="280"/>
    </row>
    <row r="40" spans="1:10" ht="45.75" thickBot="1" x14ac:dyDescent="0.3">
      <c r="A40" s="1"/>
      <c r="B40" s="1"/>
      <c r="C40" s="141">
        <v>22</v>
      </c>
      <c r="D40" s="296"/>
      <c r="E40" s="133" t="str">
        <f>+IFERROR(INDEX(Hoja1!$E$2:$E$45,MATCH('Análisis Resultados'!C40,Hoja1!$H$2:$H$45,0)),"")</f>
        <v>Solamente hasta que un organismo de control actúa se definen acciones de mejora.</v>
      </c>
      <c r="F40" s="134" t="str">
        <f>+IFERROR(VLOOKUP(C40,Hoja1!$H$2:$I$45,2,0),"")</f>
        <v>Si</v>
      </c>
      <c r="G40" s="135" t="str">
        <f t="shared" si="0"/>
        <v>Existe requerimiento pero se requiere actividades  dirigidas a su mantenimiento dentro del marco de las lineas de defensa.</v>
      </c>
      <c r="H40" s="18"/>
      <c r="I40" s="145">
        <f t="shared" si="1"/>
        <v>1</v>
      </c>
      <c r="J40" s="280"/>
    </row>
    <row r="41" spans="1:10" ht="87.75" customHeight="1" x14ac:dyDescent="0.25">
      <c r="A41" s="1"/>
      <c r="B41" s="1"/>
      <c r="C41" s="141">
        <v>23</v>
      </c>
      <c r="D41" s="291" t="s">
        <v>79</v>
      </c>
      <c r="E41" s="124" t="str">
        <f>+IFERROR(INDEX(Hoja1!$E$2:$E$45,MATCH('Análisis Resultados'!C41,Hoja1!$H$2:$H$45,0)),"")</f>
        <v>La definición de acciones o actividades para para dar tratamiento a los problemas identificados (mitigación de riesgos), incluyendo aquellos asociados a posibles actos de corrupción</v>
      </c>
      <c r="F41" s="125" t="str">
        <f>+IFERROR(VLOOKUP(C41,Hoja1!$H$2:$I$45,2,0),"")</f>
        <v>Si</v>
      </c>
      <c r="G41" s="126" t="str">
        <f t="shared" si="0"/>
        <v>Existe requerimiento pero se requiere actividades  dirigidas a su mantenimiento dentro del marco de las lineas de defensa.</v>
      </c>
      <c r="H41" s="18"/>
      <c r="I41" s="142">
        <f t="shared" si="1"/>
        <v>1</v>
      </c>
      <c r="J41" s="279">
        <f>+AVERAGE(I41:I45)</f>
        <v>1</v>
      </c>
    </row>
    <row r="42" spans="1:10" ht="57" x14ac:dyDescent="0.25">
      <c r="A42" s="1"/>
      <c r="B42" s="1"/>
      <c r="C42" s="141">
        <v>24</v>
      </c>
      <c r="D42" s="292"/>
      <c r="E42" s="127" t="str">
        <f>+IFERROR(INDEX(Hoja1!$E$2:$E$45,MATCH('Análisis Resultados'!C42,Hoja1!$H$2:$H$45,0)),"")</f>
        <v>Mecanismos de verificación de si se están o no mitigando los riesgos, o en su defecto, elaboración de planes de contingencia para subsanar sus consecuencias</v>
      </c>
      <c r="F42" s="128" t="str">
        <f>+IFERROR(VLOOKUP(C42,Hoja1!$H$2:$I$45,2,0),"")</f>
        <v>Si</v>
      </c>
      <c r="G42" s="129" t="str">
        <f t="shared" si="0"/>
        <v>Existe requerimiento pero se requiere actividades  dirigidas a su mantenimiento dentro del marco de las lineas de defensa.</v>
      </c>
      <c r="H42" s="18"/>
      <c r="I42" s="143">
        <f t="shared" si="1"/>
        <v>1</v>
      </c>
      <c r="J42" s="280"/>
    </row>
    <row r="43" spans="1:10" ht="85.5" customHeight="1" x14ac:dyDescent="0.25">
      <c r="A43" s="1"/>
      <c r="B43" s="1"/>
      <c r="C43" s="141">
        <v>25</v>
      </c>
      <c r="D43" s="292"/>
      <c r="E43" s="127" t="str">
        <f>+IFERROR(INDEX(Hoja1!$E$2:$E$45,MATCH('Análisis Resultados'!C43,Hoja1!$H$2:$H$45,0)),"")</f>
        <v>Planes, acciones o estrategias que permitan subsanar las consecuencias de la materialización de los riesgos, cuando se presentan</v>
      </c>
      <c r="F43" s="128" t="str">
        <f>+IFERROR(VLOOKUP(C43,Hoja1!$H$2:$I$45,2,0),"")</f>
        <v>Si</v>
      </c>
      <c r="G43" s="129" t="str">
        <f t="shared" si="0"/>
        <v>Existe requerimiento pero se requiere actividades  dirigidas a su mantenimiento dentro del marco de las lineas de defensa.</v>
      </c>
      <c r="H43" s="18"/>
      <c r="I43" s="143">
        <f t="shared" si="1"/>
        <v>1</v>
      </c>
      <c r="J43" s="280"/>
    </row>
    <row r="44" spans="1:10" ht="57" customHeight="1" x14ac:dyDescent="0.25">
      <c r="A44" s="1"/>
      <c r="B44" s="1"/>
      <c r="C44" s="141">
        <v>26</v>
      </c>
      <c r="D44" s="292"/>
      <c r="E44" s="127"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8" t="str">
        <f>+IFERROR(VLOOKUP(C44,Hoja1!$H$2:$I$45,2,0),"")</f>
        <v>Si</v>
      </c>
      <c r="G44" s="129" t="str">
        <f t="shared" si="0"/>
        <v>Existe requerimiento pero se requiere actividades  dirigidas a su mantenimiento dentro del marco de las lineas de defensa.</v>
      </c>
      <c r="H44" s="18"/>
      <c r="I44" s="143">
        <f t="shared" si="1"/>
        <v>1</v>
      </c>
      <c r="J44" s="280"/>
    </row>
    <row r="45" spans="1:10" ht="57" customHeight="1" thickBot="1" x14ac:dyDescent="0.3">
      <c r="A45" s="1"/>
      <c r="B45" s="1"/>
      <c r="C45" s="141">
        <v>27</v>
      </c>
      <c r="D45" s="293"/>
      <c r="E45" s="130" t="str">
        <f>+IFERROR(INDEX(Hoja1!$E$2:$E$45,MATCH('Análisis Resultados'!C45,Hoja1!$H$2:$H$45,0)),"")</f>
        <v>Un plan anticorrupción y de servicio al ciudadano con los temas que le aplican, publicado en algún medio para conocimiento de la ciudadanía</v>
      </c>
      <c r="F45" s="131" t="str">
        <f>+IFERROR(VLOOKUP(C45,Hoja1!$H$2:$I$45,2,0),"")</f>
        <v>Si</v>
      </c>
      <c r="G45" s="132" t="str">
        <f t="shared" si="0"/>
        <v>Existe requerimiento pero se requiere actividades  dirigidas a su mantenimiento dentro del marco de las lineas de defensa.</v>
      </c>
      <c r="H45" s="18"/>
      <c r="I45" s="144">
        <f t="shared" si="1"/>
        <v>1</v>
      </c>
      <c r="J45" s="294"/>
    </row>
    <row r="46" spans="1:10" ht="63.75" customHeight="1" x14ac:dyDescent="0.25">
      <c r="A46" s="1"/>
      <c r="B46" s="1"/>
      <c r="C46" s="141">
        <v>28</v>
      </c>
      <c r="D46" s="290" t="s">
        <v>87</v>
      </c>
      <c r="E46" s="136" t="str">
        <f>+IFERROR(INDEX(Hoja1!$E$2:$E$45,MATCH('Análisis Resultados'!C46,Hoja1!$H$2:$H$45,0)),"")</f>
        <v>Responsables de la información institucional</v>
      </c>
      <c r="F46" s="137" t="str">
        <f>+IFERROR(VLOOKUP(C46,Hoja1!$H$2:$I$45,2,0),"")</f>
        <v>Si</v>
      </c>
      <c r="G46" s="138" t="str">
        <f t="shared" si="0"/>
        <v>Existe requerimiento pero se requiere actividades  dirigidas a su mantenimiento dentro del marco de las lineas de defensa.</v>
      </c>
      <c r="H46" s="18"/>
      <c r="I46" s="146">
        <f t="shared" si="1"/>
        <v>1</v>
      </c>
      <c r="J46" s="280">
        <f>+AVERAGE(I46:I52)</f>
        <v>1</v>
      </c>
    </row>
    <row r="47" spans="1:10" ht="92.25" customHeight="1" x14ac:dyDescent="0.25">
      <c r="A47" s="1"/>
      <c r="B47" s="1"/>
      <c r="C47" s="141">
        <v>29</v>
      </c>
      <c r="D47" s="290"/>
      <c r="E47" s="127" t="str">
        <f>+IFERROR(INDEX(Hoja1!$E$2:$E$45,MATCH('Análisis Resultados'!C47,Hoja1!$H$2:$H$45,0)),"")</f>
        <v>Canales de comunicación con los ciudadanos</v>
      </c>
      <c r="F47" s="128" t="str">
        <f>+IFERROR(VLOOKUP(C47,Hoja1!$H$2:$I$45,2,0),"")</f>
        <v>Si</v>
      </c>
      <c r="G47" s="139" t="str">
        <f t="shared" si="0"/>
        <v>Existe requerimiento pero se requiere actividades  dirigidas a su mantenimiento dentro del marco de las lineas de defensa.</v>
      </c>
      <c r="H47" s="18"/>
      <c r="I47" s="147">
        <f t="shared" si="1"/>
        <v>1</v>
      </c>
      <c r="J47" s="280"/>
    </row>
    <row r="48" spans="1:10" ht="66.75" customHeight="1" x14ac:dyDescent="0.25">
      <c r="A48" s="1"/>
      <c r="B48" s="1"/>
      <c r="C48" s="141">
        <v>30</v>
      </c>
      <c r="D48" s="290"/>
      <c r="E48" s="127" t="str">
        <f>+IFERROR(INDEX(Hoja1!$E$2:$E$45,MATCH('Análisis Resultados'!C48,Hoja1!$H$2:$H$45,0)),"")</f>
        <v>Canales de comunicación o mecanismos de reporte de información a otros organismos gubernamentales o de control</v>
      </c>
      <c r="F48" s="128" t="str">
        <f>+IFERROR(VLOOKUP(C48,Hoja1!$H$2:$I$45,2,0),"")</f>
        <v>Si</v>
      </c>
      <c r="G48" s="139" t="str">
        <f t="shared" si="0"/>
        <v>Existe requerimiento pero se requiere actividades  dirigidas a su mantenimiento dentro del marco de las lineas de defensa.</v>
      </c>
      <c r="H48" s="18"/>
      <c r="I48" s="147">
        <f t="shared" si="1"/>
        <v>1</v>
      </c>
      <c r="J48" s="280"/>
    </row>
    <row r="49" spans="1:10" ht="60" customHeight="1" x14ac:dyDescent="0.25">
      <c r="A49" s="1"/>
      <c r="B49" s="1"/>
      <c r="C49" s="141">
        <v>31</v>
      </c>
      <c r="D49" s="290"/>
      <c r="E49" s="127" t="str">
        <f>+IFERROR(INDEX(Hoja1!$E$2:$E$45,MATCH('Análisis Resultados'!C49,Hoja1!$H$2:$H$45,0)),"")</f>
        <v xml:space="preserve">Lineamientos para dar tratamiento a la información de carácter reservado </v>
      </c>
      <c r="F49" s="128" t="str">
        <f>+IFERROR(VLOOKUP(C49,Hoja1!$H$2:$I$45,2,0),"")</f>
        <v>Si</v>
      </c>
      <c r="G49" s="139" t="str">
        <f t="shared" si="0"/>
        <v>Existe requerimiento pero se requiere actividades  dirigidas a su mantenimiento dentro del marco de las lineas de defensa.</v>
      </c>
      <c r="H49" s="18"/>
      <c r="I49" s="147">
        <f t="shared" si="1"/>
        <v>1</v>
      </c>
      <c r="J49" s="280"/>
    </row>
    <row r="50" spans="1:10" ht="57" customHeight="1" x14ac:dyDescent="0.25">
      <c r="A50" s="1"/>
      <c r="B50" s="1"/>
      <c r="C50" s="141">
        <v>32</v>
      </c>
      <c r="D50" s="290"/>
      <c r="E50" s="127" t="str">
        <f>+IFERROR(INDEX(Hoja1!$E$2:$E$45,MATCH('Análisis Resultados'!C50,Hoja1!$H$2:$H$45,0)),"")</f>
        <v>Identificación de información que produce en el marco de su gestión (Para los ciudadanos, organismos de control, organismos gubernamentales, entre otros)</v>
      </c>
      <c r="F50" s="128" t="str">
        <f>+IFERROR(VLOOKUP(C50,Hoja1!$H$2:$I$45,2,0),"")</f>
        <v>Si</v>
      </c>
      <c r="G50" s="139" t="str">
        <f t="shared" si="0"/>
        <v>Existe requerimiento pero se requiere actividades  dirigidas a su mantenimiento dentro del marco de las lineas de defensa.</v>
      </c>
      <c r="H50" s="18"/>
      <c r="I50" s="147">
        <f t="shared" si="1"/>
        <v>1</v>
      </c>
      <c r="J50" s="280"/>
    </row>
    <row r="51" spans="1:10" ht="57" customHeight="1" x14ac:dyDescent="0.25">
      <c r="A51" s="1"/>
      <c r="B51" s="1"/>
      <c r="C51" s="141">
        <v>33</v>
      </c>
      <c r="D51" s="290"/>
      <c r="E51" s="127" t="str">
        <f>+IFERROR(INDEX(Hoja1!$E$2:$E$45,MATCH('Análisis Resultados'!C51,Hoja1!$H$2:$H$45,0)),"")</f>
        <v>Identificación de información necesaria para la operación de la entidad (normograma, presupuesto, talento humano, infraestructura física y tecnológica)</v>
      </c>
      <c r="F51" s="128" t="str">
        <f>+IFERROR(VLOOKUP(C51,Hoja1!$H$2:$I$45,2,0),"")</f>
        <v>Si</v>
      </c>
      <c r="G51" s="139" t="str">
        <f t="shared" si="0"/>
        <v>Existe requerimiento pero se requiere actividades  dirigidas a su mantenimiento dentro del marco de las lineas de defensa.</v>
      </c>
      <c r="H51" s="18"/>
      <c r="I51" s="147">
        <f t="shared" si="1"/>
        <v>1</v>
      </c>
      <c r="J51" s="280"/>
    </row>
    <row r="52" spans="1:10" ht="45.75" thickBot="1" x14ac:dyDescent="0.3">
      <c r="A52" s="1"/>
      <c r="B52" s="1"/>
      <c r="C52" s="141">
        <v>34</v>
      </c>
      <c r="D52" s="290"/>
      <c r="E52" s="133" t="str">
        <f>+IFERROR(INDEX(Hoja1!$E$2:$E$45,MATCH('Análisis Resultados'!C52,Hoja1!$H$2:$H$45,0)),"")</f>
        <v>Si su capacidad e infraestructura lo permite, tecnologías de la información y las comunicaciones que soporten estos procesos</v>
      </c>
      <c r="F52" s="134" t="str">
        <f>+IFERROR(VLOOKUP(C52,Hoja1!$H$2:$I$45,2,0),"")</f>
        <v>Si</v>
      </c>
      <c r="G52" s="140" t="str">
        <f t="shared" si="0"/>
        <v>Existe requerimiento pero se requiere actividades  dirigidas a su mantenimiento dentro del marco de las lineas de defensa.</v>
      </c>
      <c r="H52" s="18"/>
      <c r="I52" s="148">
        <f t="shared" si="1"/>
        <v>1</v>
      </c>
      <c r="J52" s="280"/>
    </row>
    <row r="53" spans="1:10" ht="41.25" customHeight="1" x14ac:dyDescent="0.25">
      <c r="A53" s="1"/>
      <c r="B53" s="1"/>
      <c r="C53" s="141">
        <v>35</v>
      </c>
      <c r="D53" s="284" t="s">
        <v>97</v>
      </c>
      <c r="E53" s="124" t="str">
        <f>+IFERROR(INDEX(Hoja1!$E$2:$E$45,MATCH('Análisis Resultados'!C53,Hoja1!$H$2:$H$45,0)),"")</f>
        <v>La entidad participa en el  Comité Municipal de Auditoría?</v>
      </c>
      <c r="F53" s="125" t="str">
        <f>+IFERROR(VLOOKUP(C53,Hoja1!$H$2:$I$45,2,0),"")</f>
        <v>No</v>
      </c>
      <c r="G53" s="126" t="str">
        <f t="shared" si="0"/>
        <v>No se encuentra el aspecto  por lo tanto la entidad debera generar acciones dirigidas a que se cumpla con el requerimiento.</v>
      </c>
      <c r="H53" s="18"/>
      <c r="I53" s="142">
        <f t="shared" si="1"/>
        <v>0</v>
      </c>
      <c r="J53" s="287">
        <f>+AVERAGE(I53:I62)</f>
        <v>0.9</v>
      </c>
    </row>
    <row r="54" spans="1:10" ht="58.5" customHeight="1" x14ac:dyDescent="0.25">
      <c r="A54" s="1"/>
      <c r="B54" s="1"/>
      <c r="C54" s="141">
        <v>36</v>
      </c>
      <c r="D54" s="285"/>
      <c r="E54" s="127" t="str">
        <f>+IFERROR(INDEX(Hoja1!$E$2:$E$45,MATCH('Análisis Resultados'!C54,Hoja1!$H$2:$H$45,0)),"")</f>
        <v>Mecanismos de evaluación de la gestión (cronogramas, indicadores, listas de chequeo u otros)</v>
      </c>
      <c r="F54" s="128" t="str">
        <f>+IFERROR(VLOOKUP(C54,Hoja1!$H$2:$I$45,2,0),"")</f>
        <v>Si</v>
      </c>
      <c r="G54" s="129" t="str">
        <f t="shared" si="0"/>
        <v>Existe requerimiento pero se requiere actividades  dirigidas a su mantenimiento dentro del marco de las lineas de defensa.</v>
      </c>
      <c r="H54" s="18"/>
      <c r="I54" s="143">
        <f t="shared" si="1"/>
        <v>1</v>
      </c>
      <c r="J54" s="288"/>
    </row>
    <row r="55" spans="1:10" s="1" customFormat="1" ht="84.75" customHeight="1" x14ac:dyDescent="0.25">
      <c r="C55" s="141">
        <v>37</v>
      </c>
      <c r="D55" s="285"/>
      <c r="E55" s="127" t="str">
        <f>+IFERROR(INDEX(Hoja1!$E$2:$E$45,MATCH('Análisis Resultados'!C55,Hoja1!$H$2:$H$45,0)),"")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5" s="128" t="str">
        <f>+IFERROR(VLOOKUP(C55,Hoja1!$H$2:$I$45,2,0),"")</f>
        <v>Si</v>
      </c>
      <c r="G55" s="129" t="str">
        <f t="shared" si="0"/>
        <v>Existe requerimiento pero se requiere actividades  dirigidas a su mantenimiento dentro del marco de las lineas de defensa.</v>
      </c>
      <c r="H55" s="6"/>
      <c r="I55" s="143">
        <f t="shared" si="1"/>
        <v>1</v>
      </c>
      <c r="J55" s="288"/>
    </row>
    <row r="56" spans="1:10" s="1" customFormat="1" ht="78.75" customHeight="1" x14ac:dyDescent="0.25">
      <c r="C56" s="141">
        <v>38</v>
      </c>
      <c r="D56" s="285"/>
      <c r="E56" s="127" t="str">
        <f>+IFERROR(INDEX(Hoja1!$E$2:$E$45,MATCH('Análisis Resultados'!C56,Hoja1!$H$2:$H$45,0)),"")</f>
        <v>Medidas correctivas en caso de detectarse deficiencias en los ejercicios de evaluación, seguimiento o auditoría</v>
      </c>
      <c r="F56" s="128" t="str">
        <f>+IFERROR(VLOOKUP(C56,Hoja1!$H$2:$I$45,2,0),"")</f>
        <v>Si</v>
      </c>
      <c r="G56" s="129" t="str">
        <f t="shared" si="0"/>
        <v>Existe requerimiento pero se requiere actividades  dirigidas a su mantenimiento dentro del marco de las lineas de defensa.</v>
      </c>
      <c r="H56" s="6"/>
      <c r="I56" s="143">
        <f t="shared" si="1"/>
        <v>1</v>
      </c>
      <c r="J56" s="288"/>
    </row>
    <row r="57" spans="1:10" s="1" customFormat="1" ht="54.75" customHeight="1" x14ac:dyDescent="0.25">
      <c r="C57" s="141">
        <v>39</v>
      </c>
      <c r="D57" s="285"/>
      <c r="E57" s="127" t="str">
        <f>+IFERROR(INDEX(Hoja1!$E$2:$E$45,MATCH('Análisis Resultados'!C57,Hoja1!$H$2:$H$45,0)),"")</f>
        <v>Seguimiento a los planes de mejoramiento suscritos con instancias de control internas o externas</v>
      </c>
      <c r="F57" s="128" t="str">
        <f>+IFERROR(VLOOKUP(C57,Hoja1!$H$2:$I$45,2,0),"")</f>
        <v>Si</v>
      </c>
      <c r="G57" s="129" t="str">
        <f t="shared" si="0"/>
        <v>Existe requerimiento pero se requiere actividades  dirigidas a su mantenimiento dentro del marco de las lineas de defensa.</v>
      </c>
      <c r="H57" s="6"/>
      <c r="I57" s="143">
        <f t="shared" si="1"/>
        <v>1</v>
      </c>
      <c r="J57" s="288"/>
    </row>
    <row r="58" spans="1:10" s="1" customFormat="1" ht="68.25" customHeight="1" x14ac:dyDescent="0.25">
      <c r="C58" s="141">
        <v>40</v>
      </c>
      <c r="D58" s="285"/>
      <c r="E58" s="127" t="str">
        <f>+IFERROR(INDEX(Hoja1!$E$2:$E$45,MATCH('Análisis Resultados'!C58,Hoja1!$H$2:$H$45,0)),"")</f>
        <v>Evitar que los problemas (riesgos) obstaculicen el cumplimiento de los objetivos.</v>
      </c>
      <c r="F58" s="128" t="str">
        <f>+IFERROR(VLOOKUP(C58,Hoja1!$H$2:$I$45,2,0),"")</f>
        <v>Si</v>
      </c>
      <c r="G58" s="129" t="str">
        <f t="shared" si="0"/>
        <v>Existe requerimiento pero se requiere actividades  dirigidas a su mantenimiento dentro del marco de las lineas de defensa.</v>
      </c>
      <c r="H58" s="6"/>
      <c r="I58" s="143">
        <f t="shared" si="1"/>
        <v>1</v>
      </c>
      <c r="J58" s="288"/>
    </row>
    <row r="59" spans="1:10" s="1" customFormat="1" ht="45" customHeight="1" x14ac:dyDescent="0.25">
      <c r="C59" s="141">
        <v>41</v>
      </c>
      <c r="D59" s="285"/>
      <c r="E59" s="127" t="str">
        <f>+IFERROR(INDEX(Hoja1!$E$2:$E$45,MATCH('Análisis Resultados'!C59,Hoja1!$H$2:$H$45,0)),"")</f>
        <v>Controlar los puntos críticos en los procesos.</v>
      </c>
      <c r="F59" s="128" t="str">
        <f>+IFERROR(VLOOKUP(C59,Hoja1!$H$2:$I$45,2,0),"")</f>
        <v>Si</v>
      </c>
      <c r="G59" s="129" t="str">
        <f t="shared" si="0"/>
        <v>Existe requerimiento pero se requiere actividades  dirigidas a su mantenimiento dentro del marco de las lineas de defensa.</v>
      </c>
      <c r="H59" s="6"/>
      <c r="I59" s="143">
        <f t="shared" si="1"/>
        <v>1</v>
      </c>
      <c r="J59" s="288"/>
    </row>
    <row r="60" spans="1:10" s="1" customFormat="1" ht="51.75" customHeight="1" x14ac:dyDescent="0.25">
      <c r="C60" s="141">
        <v>42</v>
      </c>
      <c r="D60" s="285"/>
      <c r="E60" s="127" t="str">
        <f>+IFERROR(INDEX(Hoja1!$E$2:$E$45,MATCH('Análisis Resultados'!C60,Hoja1!$H$2:$H$45,0)),"")</f>
        <v>Diseñar acciones adecuadas para controlar los problemas que afectan el cumplimiento de las metas y objetivos institucionales (riesgos).</v>
      </c>
      <c r="F60" s="128" t="str">
        <f>+IFERROR(VLOOKUP(C60,Hoja1!$H$2:$I$45,2,0),"")</f>
        <v>Si</v>
      </c>
      <c r="G60" s="129" t="str">
        <f t="shared" si="0"/>
        <v>Existe requerimiento pero se requiere actividades  dirigidas a su mantenimiento dentro del marco de las lineas de defensa.</v>
      </c>
      <c r="H60" s="6"/>
      <c r="I60" s="143">
        <f t="shared" si="1"/>
        <v>1</v>
      </c>
      <c r="J60" s="288"/>
    </row>
    <row r="61" spans="1:10" s="1" customFormat="1" ht="84" customHeight="1" x14ac:dyDescent="0.25">
      <c r="C61" s="141">
        <v>43</v>
      </c>
      <c r="D61" s="285"/>
      <c r="E61" s="127" t="str">
        <f>+IFERROR(INDEX(Hoja1!$E$2:$E$45,MATCH('Análisis Resultados'!C61,Hoja1!$H$2:$H$45,0)),"")</f>
        <v>Ejecutar las acciones de acuerdo a como se diseñaron previamente.</v>
      </c>
      <c r="F61" s="128" t="str">
        <f>+IFERROR(VLOOKUP(C61,Hoja1!$H$2:$I$45,2,0),"")</f>
        <v>Si</v>
      </c>
      <c r="G61" s="129" t="str">
        <f t="shared" si="0"/>
        <v>Existe requerimiento pero se requiere actividades  dirigidas a su mantenimiento dentro del marco de las lineas de defensa.</v>
      </c>
      <c r="H61" s="6"/>
      <c r="I61" s="143">
        <f t="shared" si="1"/>
        <v>1</v>
      </c>
      <c r="J61" s="288"/>
    </row>
    <row r="62" spans="1:10" s="1" customFormat="1" ht="60" customHeight="1" thickBot="1" x14ac:dyDescent="0.3">
      <c r="C62" s="141">
        <v>44</v>
      </c>
      <c r="D62" s="286"/>
      <c r="E62" s="130" t="str">
        <f>+IFERROR(INDEX(Hoja1!$E$2:$E$45,MATCH('Análisis Resultados'!C62,Hoja1!$H$2:$H$45,0)),"")</f>
        <v>No se gestionan los problemas que afectan el cumplimiento de las funciones y objetivos institucionales(riesgos).</v>
      </c>
      <c r="F62" s="131" t="str">
        <f>+IFERROR(VLOOKUP(C62,Hoja1!$H$2:$I$45,2,0),"")</f>
        <v>Si</v>
      </c>
      <c r="G62" s="132" t="str">
        <f t="shared" si="0"/>
        <v>Existe requerimiento pero se requiere actividades  dirigidas a su mantenimiento dentro del marco de las lineas de defensa.</v>
      </c>
      <c r="H62" s="6"/>
      <c r="I62" s="144">
        <f t="shared" si="1"/>
        <v>1</v>
      </c>
      <c r="J62" s="289"/>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tabSelected="1" zoomScale="64" zoomScaleNormal="64" workbookViewId="0">
      <selection activeCell="C28" sqref="C28"/>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04" t="s">
        <v>124</v>
      </c>
      <c r="F4" s="306" t="s">
        <v>234</v>
      </c>
      <c r="G4" s="306"/>
      <c r="H4" s="306"/>
      <c r="I4" s="306"/>
      <c r="J4" s="306"/>
      <c r="K4" s="306"/>
      <c r="L4" s="306"/>
      <c r="M4" s="306"/>
      <c r="N4" s="7"/>
      <c r="O4" s="7"/>
      <c r="P4" s="8"/>
      <c r="Q4" s="1"/>
    </row>
    <row r="5" spans="1:17" ht="45.75" customHeight="1" x14ac:dyDescent="0.3">
      <c r="A5" s="1"/>
      <c r="B5" s="5"/>
      <c r="C5" s="6"/>
      <c r="D5" s="6"/>
      <c r="E5" s="305"/>
      <c r="F5" s="306"/>
      <c r="G5" s="306"/>
      <c r="H5" s="306"/>
      <c r="I5" s="306"/>
      <c r="J5" s="306"/>
      <c r="K5" s="306"/>
      <c r="L5" s="306"/>
      <c r="M5" s="306"/>
      <c r="N5" s="7"/>
      <c r="O5" s="7"/>
      <c r="P5" s="8"/>
      <c r="Q5" s="1"/>
    </row>
    <row r="6" spans="1:17" ht="66.75" customHeight="1" x14ac:dyDescent="0.3">
      <c r="A6" s="1"/>
      <c r="B6" s="5"/>
      <c r="C6" s="6"/>
      <c r="D6" s="6"/>
      <c r="E6" s="96" t="s">
        <v>125</v>
      </c>
      <c r="F6" s="307" t="s">
        <v>235</v>
      </c>
      <c r="G6" s="308"/>
      <c r="H6" s="308"/>
      <c r="I6" s="308"/>
      <c r="J6" s="308"/>
      <c r="K6" s="308"/>
      <c r="L6" s="308"/>
      <c r="M6" s="309"/>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10" t="s">
        <v>126</v>
      </c>
      <c r="J8" s="311"/>
      <c r="K8" s="312"/>
      <c r="L8" s="6"/>
      <c r="M8" s="149">
        <f>+AVERAGE(G26,G28,G30,G32,G34)</f>
        <v>0.97000000000000008</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13" t="s">
        <v>127</v>
      </c>
      <c r="D18" s="314"/>
      <c r="E18" s="314"/>
      <c r="F18" s="314"/>
      <c r="G18" s="314"/>
      <c r="H18" s="314"/>
      <c r="I18" s="314"/>
      <c r="J18" s="314"/>
      <c r="K18" s="314"/>
      <c r="L18" s="314"/>
      <c r="M18" s="315"/>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16" t="s">
        <v>128</v>
      </c>
      <c r="D20" s="317"/>
      <c r="E20" s="152" t="s">
        <v>39</v>
      </c>
      <c r="F20" s="325" t="s">
        <v>241</v>
      </c>
      <c r="G20" s="325"/>
      <c r="H20" s="325"/>
      <c r="I20" s="325"/>
      <c r="J20" s="325"/>
      <c r="K20" s="325"/>
      <c r="L20" s="325"/>
      <c r="M20" s="326"/>
      <c r="N20" s="15"/>
      <c r="O20" s="15"/>
      <c r="P20" s="8"/>
      <c r="Q20" s="1"/>
    </row>
    <row r="21" spans="1:17" ht="126.75" customHeight="1" x14ac:dyDescent="0.25">
      <c r="A21" s="1"/>
      <c r="B21" s="5"/>
      <c r="C21" s="300" t="s">
        <v>129</v>
      </c>
      <c r="D21" s="301"/>
      <c r="E21" s="153" t="s">
        <v>39</v>
      </c>
      <c r="F21" s="327" t="s">
        <v>242</v>
      </c>
      <c r="G21" s="327"/>
      <c r="H21" s="327"/>
      <c r="I21" s="327"/>
      <c r="J21" s="327"/>
      <c r="K21" s="327"/>
      <c r="L21" s="327"/>
      <c r="M21" s="328"/>
      <c r="N21" s="15"/>
      <c r="O21" s="15"/>
      <c r="P21" s="8"/>
      <c r="Q21" s="1"/>
    </row>
    <row r="22" spans="1:17" ht="151.5" customHeight="1" thickBot="1" x14ac:dyDescent="0.3">
      <c r="A22" s="1"/>
      <c r="B22" s="5"/>
      <c r="C22" s="302" t="s">
        <v>130</v>
      </c>
      <c r="D22" s="303"/>
      <c r="E22" s="154" t="s">
        <v>39</v>
      </c>
      <c r="F22" s="329" t="s">
        <v>243</v>
      </c>
      <c r="G22" s="329"/>
      <c r="H22" s="329"/>
      <c r="I22" s="329"/>
      <c r="J22" s="329"/>
      <c r="K22" s="329"/>
      <c r="L22" s="329"/>
      <c r="M22" s="330"/>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131</v>
      </c>
      <c r="D24" s="100"/>
      <c r="E24" s="99" t="s">
        <v>132</v>
      </c>
      <c r="F24" s="100"/>
      <c r="G24" s="99" t="s">
        <v>133</v>
      </c>
      <c r="H24" s="100"/>
      <c r="I24" s="297" t="s">
        <v>134</v>
      </c>
      <c r="J24" s="297"/>
      <c r="K24" s="297"/>
      <c r="L24" s="297"/>
      <c r="M24" s="297"/>
      <c r="N24" s="33"/>
      <c r="O24" s="33"/>
      <c r="P24" s="8"/>
      <c r="Q24" s="17"/>
    </row>
    <row r="25" spans="1:17" ht="13.5" customHeight="1" thickBot="1" x14ac:dyDescent="0.3">
      <c r="A25" s="1"/>
      <c r="B25" s="5"/>
      <c r="C25" s="32"/>
      <c r="D25" s="18"/>
      <c r="E25" s="18"/>
      <c r="F25" s="18"/>
      <c r="G25" s="18"/>
      <c r="H25" s="18"/>
      <c r="I25" s="298"/>
      <c r="J25" s="298"/>
      <c r="K25" s="298"/>
      <c r="L25" s="298"/>
      <c r="M25" s="298"/>
      <c r="N25" s="34"/>
      <c r="O25" s="34"/>
      <c r="P25" s="8"/>
      <c r="Q25" s="1"/>
    </row>
    <row r="26" spans="1:17" ht="155.25" customHeight="1" thickBot="1" x14ac:dyDescent="0.3">
      <c r="A26" s="1"/>
      <c r="B26" s="5"/>
      <c r="C26" s="90" t="s">
        <v>32</v>
      </c>
      <c r="D26" s="19"/>
      <c r="E26" s="150" t="str">
        <f>+IF(Hoja1!K2&gt;=0.5,"Si","No")</f>
        <v>Si</v>
      </c>
      <c r="F26" s="20"/>
      <c r="G26" s="151">
        <f>+Hoja1!K2</f>
        <v>1</v>
      </c>
      <c r="H26" s="20"/>
      <c r="I26" s="322" t="s">
        <v>240</v>
      </c>
      <c r="J26" s="323"/>
      <c r="K26" s="323"/>
      <c r="L26" s="323"/>
      <c r="M26" s="324"/>
      <c r="N26" s="35"/>
      <c r="O26" s="36"/>
      <c r="P26" s="21"/>
      <c r="Q26" s="22"/>
    </row>
    <row r="27" spans="1:17" ht="27" thickBot="1" x14ac:dyDescent="0.45">
      <c r="A27" s="1"/>
      <c r="B27" s="5"/>
      <c r="C27" s="91"/>
      <c r="D27" s="23"/>
      <c r="E27" s="98"/>
      <c r="F27" s="18"/>
      <c r="G27" s="24"/>
      <c r="H27" s="18"/>
      <c r="I27" s="299"/>
      <c r="J27" s="299"/>
      <c r="K27" s="299"/>
      <c r="L27" s="299"/>
      <c r="M27" s="299"/>
      <c r="N27" s="37"/>
      <c r="O27" s="37"/>
      <c r="P27" s="8"/>
      <c r="Q27" s="1"/>
    </row>
    <row r="28" spans="1:17" ht="111.75" customHeight="1" thickBot="1" x14ac:dyDescent="0.3">
      <c r="A28" s="1"/>
      <c r="B28" s="5"/>
      <c r="C28" s="92" t="s">
        <v>135</v>
      </c>
      <c r="D28" s="19"/>
      <c r="E28" s="318" t="str">
        <f>+IF(Hoja1!K14&gt;=0.5,"Si","No")</f>
        <v>Si</v>
      </c>
      <c r="F28" s="18"/>
      <c r="G28" s="151">
        <f>+Hoja1!K14</f>
        <v>0.95</v>
      </c>
      <c r="H28" s="18"/>
      <c r="I28" s="319" t="s">
        <v>239</v>
      </c>
      <c r="J28" s="320"/>
      <c r="K28" s="320"/>
      <c r="L28" s="320"/>
      <c r="M28" s="321"/>
      <c r="N28" s="35"/>
      <c r="O28" s="35"/>
      <c r="P28" s="8"/>
      <c r="Q28" s="1"/>
    </row>
    <row r="29" spans="1:17" ht="27" thickBot="1" x14ac:dyDescent="0.45">
      <c r="A29" s="1"/>
      <c r="B29" s="5"/>
      <c r="C29" s="91"/>
      <c r="D29" s="23"/>
      <c r="E29" s="98"/>
      <c r="F29" s="18"/>
      <c r="G29" s="24"/>
      <c r="H29" s="18"/>
      <c r="I29" s="299"/>
      <c r="J29" s="299"/>
      <c r="K29" s="299"/>
      <c r="L29" s="299"/>
      <c r="M29" s="299"/>
      <c r="N29" s="37"/>
      <c r="O29" s="37"/>
      <c r="P29" s="8"/>
      <c r="Q29" s="1"/>
    </row>
    <row r="30" spans="1:17" ht="123" customHeight="1" thickBot="1" x14ac:dyDescent="0.3">
      <c r="A30" s="1"/>
      <c r="B30" s="5"/>
      <c r="C30" s="93" t="s">
        <v>136</v>
      </c>
      <c r="D30" s="19"/>
      <c r="E30" s="150" t="str">
        <f>+IF(Hoja1!K24&gt;=0.5,"Si","No")</f>
        <v>Si</v>
      </c>
      <c r="F30" s="18"/>
      <c r="G30" s="151">
        <f>+Hoja1!K24</f>
        <v>1</v>
      </c>
      <c r="H30" s="18"/>
      <c r="I30" s="319" t="s">
        <v>238</v>
      </c>
      <c r="J30" s="320"/>
      <c r="K30" s="320"/>
      <c r="L30" s="320"/>
      <c r="M30" s="321"/>
      <c r="N30" s="35"/>
      <c r="O30" s="35"/>
      <c r="P30" s="8"/>
      <c r="Q30" s="1"/>
    </row>
    <row r="31" spans="1:17" ht="27" thickBot="1" x14ac:dyDescent="0.45">
      <c r="A31" s="1"/>
      <c r="B31" s="5"/>
      <c r="C31" s="91"/>
      <c r="D31" s="23"/>
      <c r="E31" s="98"/>
      <c r="F31" s="18"/>
      <c r="G31" s="24"/>
      <c r="H31" s="18"/>
      <c r="I31" s="299"/>
      <c r="J31" s="299"/>
      <c r="K31" s="299"/>
      <c r="L31" s="299"/>
      <c r="M31" s="299"/>
      <c r="N31" s="37"/>
      <c r="O31" s="37"/>
      <c r="P31" s="8"/>
      <c r="Q31" s="1"/>
    </row>
    <row r="32" spans="1:17" ht="171" customHeight="1" thickBot="1" x14ac:dyDescent="0.3">
      <c r="A32" s="1"/>
      <c r="B32" s="5"/>
      <c r="C32" s="94" t="s">
        <v>87</v>
      </c>
      <c r="D32" s="19"/>
      <c r="E32" s="150" t="str">
        <f>+IF(Hoja1!K29&gt;=0.5,"Si","No")</f>
        <v>Si</v>
      </c>
      <c r="F32" s="18"/>
      <c r="G32" s="151">
        <f>+Hoja1!K29</f>
        <v>1</v>
      </c>
      <c r="H32" s="18"/>
      <c r="I32" s="319" t="s">
        <v>236</v>
      </c>
      <c r="J32" s="320"/>
      <c r="K32" s="320"/>
      <c r="L32" s="320"/>
      <c r="M32" s="321"/>
      <c r="N32" s="35"/>
      <c r="O32" s="35"/>
      <c r="P32" s="8"/>
      <c r="Q32" s="1"/>
    </row>
    <row r="33" spans="1:17" ht="27" thickBot="1" x14ac:dyDescent="0.45">
      <c r="A33" s="1"/>
      <c r="B33" s="5"/>
      <c r="C33" s="91"/>
      <c r="D33" s="23"/>
      <c r="E33" s="98"/>
      <c r="F33" s="18"/>
      <c r="G33" s="24"/>
      <c r="H33" s="18"/>
      <c r="I33" s="299"/>
      <c r="J33" s="299"/>
      <c r="K33" s="299"/>
      <c r="L33" s="299"/>
      <c r="M33" s="299"/>
      <c r="N33" s="37"/>
      <c r="O33" s="37"/>
      <c r="P33" s="8"/>
      <c r="Q33" s="1"/>
    </row>
    <row r="34" spans="1:17" ht="164.25" customHeight="1" thickBot="1" x14ac:dyDescent="0.3">
      <c r="A34" s="1"/>
      <c r="B34" s="5"/>
      <c r="C34" s="95" t="s">
        <v>137</v>
      </c>
      <c r="D34" s="19"/>
      <c r="E34" s="97" t="str">
        <f>+IF(Hoja1!K36&gt;=0.5,"Si","No")</f>
        <v>Si</v>
      </c>
      <c r="F34" s="18"/>
      <c r="G34" s="151">
        <f>+Hoja1!K36</f>
        <v>0.9</v>
      </c>
      <c r="H34" s="18"/>
      <c r="I34" s="319" t="s">
        <v>237</v>
      </c>
      <c r="J34" s="320"/>
      <c r="K34" s="320"/>
      <c r="L34" s="320"/>
      <c r="M34" s="321"/>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xr:uid="{00000000-0002-0000-0300-000000000000}">
      <formula1>"Si, No"</formula1>
    </dataValidation>
    <dataValidation allowBlank="1" showInputMessage="1" showErrorMessage="1" prompt="Celda formulada, información proveniente de la pestaña de deficiencias." sqref="E24" xr:uid="{00000000-0002-0000-0300-000001000000}"/>
    <dataValidation type="list" allowBlank="1" showInputMessage="1" showErrorMessage="1" sqref="E20" xr:uid="{00000000-0002-0000-0300-00000200000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'D:\Users\dell\Desktop\cesar\HISTORICOS\[2020-04-22_Formato_informe_sci_parametrizado_final.xlsx]Analisis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5" t="s">
        <v>25</v>
      </c>
      <c r="B1" s="155" t="s">
        <v>6</v>
      </c>
      <c r="C1" s="156" t="s">
        <v>8</v>
      </c>
      <c r="D1" s="157" t="s">
        <v>26</v>
      </c>
      <c r="E1" s="157" t="s">
        <v>27</v>
      </c>
      <c r="F1" s="157" t="s">
        <v>138</v>
      </c>
      <c r="G1" s="158" t="s">
        <v>139</v>
      </c>
      <c r="H1" s="158" t="s">
        <v>140</v>
      </c>
      <c r="I1" s="158" t="s">
        <v>119</v>
      </c>
      <c r="J1" s="158" t="s">
        <v>141</v>
      </c>
      <c r="K1" s="158" t="s">
        <v>142</v>
      </c>
    </row>
    <row r="2" spans="1:11" x14ac:dyDescent="0.25">
      <c r="A2" s="159" t="s">
        <v>143</v>
      </c>
      <c r="B2" s="159" t="str">
        <f>+VLOOKUP(A2,'Estado SCI'!$A$16:$C$59,3,0)</f>
        <v>AMBIENTE DE CONTROL</v>
      </c>
      <c r="C2" s="159" t="s">
        <v>33</v>
      </c>
      <c r="D2" s="159" t="s">
        <v>34</v>
      </c>
      <c r="E2" s="159" t="s">
        <v>35</v>
      </c>
      <c r="F2" s="159" t="str">
        <f>+VLOOKUP(A2,'Estado SCI'!$A$16:$I$59,9,0)</f>
        <v>Mantenimiento del control</v>
      </c>
      <c r="G2" s="159">
        <f>+VLOOKUP(A2,'Estado SCI'!$A$16:$L$59,12,0)</f>
        <v>20.123000000000001</v>
      </c>
      <c r="H2" s="159">
        <f t="shared" ref="H2:H45" si="0">+_xlfn.RANK.EQ(G2,$G$2:$G$45,1)</f>
        <v>1</v>
      </c>
      <c r="I2" s="159" t="str">
        <f>+IF(VLOOKUP(A2,'Estado SCI'!$A$16:$G$59,7,0)="","",VLOOKUP(A2,'Estado SCI'!$A$16:$G$59,7,0))</f>
        <v>Si</v>
      </c>
      <c r="J2" s="160">
        <f>+IF(I2="Si",1,IF(I2="En proceso",0.5,0))</f>
        <v>1</v>
      </c>
      <c r="K2" s="161">
        <f t="shared" ref="K2:K45" si="1">+AVERAGEIF($B$2:$B$45,B2,$J$2:$J$45)</f>
        <v>1</v>
      </c>
    </row>
    <row r="3" spans="1:11" x14ac:dyDescent="0.25">
      <c r="A3" s="159" t="s">
        <v>144</v>
      </c>
      <c r="B3" s="159" t="s">
        <v>32</v>
      </c>
      <c r="C3" s="159" t="s">
        <v>33</v>
      </c>
      <c r="D3" s="159" t="s">
        <v>37</v>
      </c>
      <c r="E3" s="159" t="s">
        <v>38</v>
      </c>
      <c r="F3" s="159" t="str">
        <f>+VLOOKUP(A3,'Estado SCI'!$A$16:$I$59,9,0)</f>
        <v>Mantenimiento del control</v>
      </c>
      <c r="G3" s="159">
        <f>+VLOOKUP(A3,'Estado SCI'!$A$16:$L$59,12,0)</f>
        <v>20.1234</v>
      </c>
      <c r="H3" s="159">
        <f t="shared" si="0"/>
        <v>2</v>
      </c>
      <c r="I3" s="159" t="str">
        <f>+IF(VLOOKUP(A3,'Estado SCI'!$A$16:$G$59,7,0)="","",VLOOKUP(A3,'Estado SCI'!$A$16:$G$59,7,0))</f>
        <v>Si</v>
      </c>
      <c r="J3" s="160">
        <f t="shared" ref="J3:J45" si="2">+IF(I3="Si",1,IF(I3="En proceso",0.5,0))</f>
        <v>1</v>
      </c>
      <c r="K3" s="161">
        <f t="shared" si="1"/>
        <v>1</v>
      </c>
    </row>
    <row r="4" spans="1:11" x14ac:dyDescent="0.25">
      <c r="A4" s="159" t="s">
        <v>145</v>
      </c>
      <c r="B4" s="159" t="s">
        <v>32</v>
      </c>
      <c r="C4" s="159" t="s">
        <v>33</v>
      </c>
      <c r="D4" s="159" t="s">
        <v>40</v>
      </c>
      <c r="E4" s="159" t="s">
        <v>41</v>
      </c>
      <c r="F4" s="159" t="str">
        <f>+VLOOKUP(A4,'Estado SCI'!$A$16:$I$59,9,0)</f>
        <v>Mantenimiento del control</v>
      </c>
      <c r="G4" s="159">
        <f>+VLOOKUP(A4,'Estado SCI'!$A$16:$L$59,12,0)</f>
        <v>20.123449999999998</v>
      </c>
      <c r="H4" s="159">
        <f t="shared" si="0"/>
        <v>3</v>
      </c>
      <c r="I4" s="159" t="str">
        <f>+IF(VLOOKUP(A4,'Estado SCI'!$A$16:$G$59,7,0)="","",VLOOKUP(A4,'Estado SCI'!$A$16:$G$59,7,0))</f>
        <v>Si</v>
      </c>
      <c r="J4" s="160">
        <f t="shared" si="2"/>
        <v>1</v>
      </c>
      <c r="K4" s="161">
        <f t="shared" si="1"/>
        <v>1</v>
      </c>
    </row>
    <row r="5" spans="1:11" x14ac:dyDescent="0.25">
      <c r="A5" s="159" t="s">
        <v>146</v>
      </c>
      <c r="B5" s="159" t="s">
        <v>32</v>
      </c>
      <c r="C5" s="159" t="s">
        <v>33</v>
      </c>
      <c r="D5" s="159" t="s">
        <v>42</v>
      </c>
      <c r="E5" s="159" t="s">
        <v>43</v>
      </c>
      <c r="F5" s="159" t="str">
        <f>+VLOOKUP(A5,'Estado SCI'!$A$16:$I$59,9,0)</f>
        <v>Mantenimiento del control</v>
      </c>
      <c r="G5" s="159">
        <f>+VLOOKUP(A5,'Estado SCI'!$A$16:$L$59,12,0)</f>
        <v>20.123456000000001</v>
      </c>
      <c r="H5" s="159">
        <f t="shared" si="0"/>
        <v>4</v>
      </c>
      <c r="I5" s="159" t="str">
        <f>+IF(VLOOKUP(A5,'Estado SCI'!$A$16:$G$59,7,0)="","",VLOOKUP(A5,'Estado SCI'!$A$16:$G$59,7,0))</f>
        <v>Si</v>
      </c>
      <c r="J5" s="160">
        <f t="shared" si="2"/>
        <v>1</v>
      </c>
      <c r="K5" s="161">
        <f t="shared" si="1"/>
        <v>1</v>
      </c>
    </row>
    <row r="6" spans="1:11" x14ac:dyDescent="0.25">
      <c r="A6" s="159" t="s">
        <v>147</v>
      </c>
      <c r="B6" s="159" t="s">
        <v>32</v>
      </c>
      <c r="C6" s="159" t="s">
        <v>33</v>
      </c>
      <c r="D6" s="159" t="s">
        <v>44</v>
      </c>
      <c r="E6" s="159" t="s">
        <v>45</v>
      </c>
      <c r="F6" s="159" t="str">
        <f>+VLOOKUP(A6,'Estado SCI'!$A$16:$I$59,9,0)</f>
        <v>Mantenimiento del control</v>
      </c>
      <c r="G6" s="159">
        <f>+VLOOKUP(A6,'Estado SCI'!$A$16:$L$59,12,0)</f>
        <v>20.123456780000001</v>
      </c>
      <c r="H6" s="159">
        <f t="shared" si="0"/>
        <v>5</v>
      </c>
      <c r="I6" s="159" t="str">
        <f>+IF(VLOOKUP(A6,'Estado SCI'!$A$16:$G$59,7,0)="","",VLOOKUP(A6,'Estado SCI'!$A$16:$G$59,7,0))</f>
        <v>Si</v>
      </c>
      <c r="J6" s="160">
        <f t="shared" si="2"/>
        <v>1</v>
      </c>
      <c r="K6" s="161">
        <f t="shared" si="1"/>
        <v>1</v>
      </c>
    </row>
    <row r="7" spans="1:11" x14ac:dyDescent="0.25">
      <c r="A7" s="159" t="s">
        <v>148</v>
      </c>
      <c r="B7" s="159" t="s">
        <v>32</v>
      </c>
      <c r="C7" s="159" t="s">
        <v>33</v>
      </c>
      <c r="D7" s="159" t="s">
        <v>46</v>
      </c>
      <c r="E7" s="159" t="s">
        <v>47</v>
      </c>
      <c r="F7" s="159" t="str">
        <f>+VLOOKUP(A7,'Estado SCI'!$A$16:$I$59,9,0)</f>
        <v>Mantenimiento del control</v>
      </c>
      <c r="G7" s="159">
        <f>+VLOOKUP(A7,'Estado SCI'!$A$16:$L$59,12,0)</f>
        <v>20.123456788999999</v>
      </c>
      <c r="H7" s="159">
        <f t="shared" si="0"/>
        <v>6</v>
      </c>
      <c r="I7" s="159" t="str">
        <f>+IF(VLOOKUP(A7,'Estado SCI'!$A$16:$G$59,7,0)="","",VLOOKUP(A7,'Estado SCI'!$A$16:$G$59,7,0))</f>
        <v>Si</v>
      </c>
      <c r="J7" s="160">
        <f t="shared" si="2"/>
        <v>1</v>
      </c>
      <c r="K7" s="161">
        <f t="shared" si="1"/>
        <v>1</v>
      </c>
    </row>
    <row r="8" spans="1:11" x14ac:dyDescent="0.25">
      <c r="A8" s="159" t="s">
        <v>149</v>
      </c>
      <c r="B8" s="159" t="s">
        <v>32</v>
      </c>
      <c r="C8" s="159" t="s">
        <v>33</v>
      </c>
      <c r="D8" s="159" t="s">
        <v>48</v>
      </c>
      <c r="E8" s="159" t="s">
        <v>49</v>
      </c>
      <c r="F8" s="159" t="str">
        <f>+VLOOKUP(A8,'Estado SCI'!$A$16:$I$59,9,0)</f>
        <v>Mantenimiento del control</v>
      </c>
      <c r="G8" s="159">
        <f>+VLOOKUP(A8,'Estado SCI'!$A$16:$L$59,12,0)</f>
        <v>20.1234567891</v>
      </c>
      <c r="H8" s="159">
        <f t="shared" si="0"/>
        <v>7</v>
      </c>
      <c r="I8" s="159" t="str">
        <f>+IF(VLOOKUP(A8,'Estado SCI'!$A$16:$G$59,7,0)="","",VLOOKUP(A8,'Estado SCI'!$A$16:$G$59,7,0))</f>
        <v>Si</v>
      </c>
      <c r="J8" s="160">
        <f t="shared" si="2"/>
        <v>1</v>
      </c>
      <c r="K8" s="161">
        <f t="shared" si="1"/>
        <v>1</v>
      </c>
    </row>
    <row r="9" spans="1:11" x14ac:dyDescent="0.25">
      <c r="A9" s="159" t="s">
        <v>150</v>
      </c>
      <c r="B9" s="159" t="s">
        <v>32</v>
      </c>
      <c r="C9" s="159" t="s">
        <v>33</v>
      </c>
      <c r="D9" s="159" t="s">
        <v>50</v>
      </c>
      <c r="E9" s="159" t="s">
        <v>51</v>
      </c>
      <c r="F9" s="159" t="str">
        <f>+VLOOKUP(A9,'Estado SCI'!$A$16:$I$59,9,0)</f>
        <v>Mantenimiento del control</v>
      </c>
      <c r="G9" s="159">
        <f>+VLOOKUP(A9,'Estado SCI'!$A$16:$L$59,12,0)</f>
        <v>20.123456789119999</v>
      </c>
      <c r="H9" s="159">
        <f t="shared" si="0"/>
        <v>8</v>
      </c>
      <c r="I9" s="159" t="str">
        <f>+IF(VLOOKUP(A9,'Estado SCI'!$A$16:$G$59,7,0)="","",VLOOKUP(A9,'Estado SCI'!$A$16:$G$59,7,0))</f>
        <v>Si</v>
      </c>
      <c r="J9" s="160">
        <f t="shared" si="2"/>
        <v>1</v>
      </c>
      <c r="K9" s="161">
        <f t="shared" si="1"/>
        <v>1</v>
      </c>
    </row>
    <row r="10" spans="1:11" x14ac:dyDescent="0.25">
      <c r="A10" s="159" t="s">
        <v>151</v>
      </c>
      <c r="B10" s="159" t="s">
        <v>32</v>
      </c>
      <c r="C10" s="159" t="s">
        <v>33</v>
      </c>
      <c r="D10" s="159" t="s">
        <v>52</v>
      </c>
      <c r="E10" s="159" t="s">
        <v>53</v>
      </c>
      <c r="F10" s="159" t="str">
        <f>+VLOOKUP(A10,'Estado SCI'!$A$16:$I$59,9,0)</f>
        <v>Mantenimiento del control</v>
      </c>
      <c r="G10" s="159">
        <f>+VLOOKUP(A10,'Estado SCI'!$A$16:$L$59,12,0)</f>
        <v>20.123456789123001</v>
      </c>
      <c r="H10" s="159">
        <f t="shared" si="0"/>
        <v>9</v>
      </c>
      <c r="I10" s="159" t="str">
        <f>+IF(VLOOKUP(A10,'Estado SCI'!$A$16:$G$59,7,0)="","",VLOOKUP(A10,'Estado SCI'!$A$16:$G$59,7,0))</f>
        <v>Si</v>
      </c>
      <c r="J10" s="160">
        <f t="shared" si="2"/>
        <v>1</v>
      </c>
      <c r="K10" s="161">
        <f t="shared" si="1"/>
        <v>1</v>
      </c>
    </row>
    <row r="11" spans="1:11" x14ac:dyDescent="0.25">
      <c r="A11" s="159" t="s">
        <v>152</v>
      </c>
      <c r="B11" s="159" t="s">
        <v>32</v>
      </c>
      <c r="C11" s="159" t="s">
        <v>33</v>
      </c>
      <c r="D11" s="159" t="s">
        <v>54</v>
      </c>
      <c r="E11" s="159" t="s">
        <v>55</v>
      </c>
      <c r="F11" s="159" t="str">
        <f>+VLOOKUP(A11,'Estado SCI'!$A$16:$I$59,9,0)</f>
        <v>Mantenimiento del control</v>
      </c>
      <c r="G11" s="159">
        <f>+VLOOKUP(A11,'Estado SCI'!$A$16:$L$59,12,0)</f>
        <v>20.123456789123399</v>
      </c>
      <c r="H11" s="159">
        <f t="shared" si="0"/>
        <v>10</v>
      </c>
      <c r="I11" s="159" t="str">
        <f>+IF(VLOOKUP(A11,'Estado SCI'!$A$16:$G$59,7,0)="","",VLOOKUP(A11,'Estado SCI'!$A$16:$G$59,7,0))</f>
        <v>Si</v>
      </c>
      <c r="J11" s="160">
        <f t="shared" si="2"/>
        <v>1</v>
      </c>
      <c r="K11" s="161">
        <f t="shared" si="1"/>
        <v>1</v>
      </c>
    </row>
    <row r="12" spans="1:11" x14ac:dyDescent="0.25">
      <c r="A12" s="159" t="s">
        <v>153</v>
      </c>
      <c r="B12" s="159" t="s">
        <v>32</v>
      </c>
      <c r="C12" s="159" t="s">
        <v>33</v>
      </c>
      <c r="D12" s="159" t="s">
        <v>56</v>
      </c>
      <c r="E12" s="159" t="s">
        <v>57</v>
      </c>
      <c r="F12" s="159" t="str">
        <f>+VLOOKUP(A12,'Estado SCI'!$A$16:$I$59,9,0)</f>
        <v>Mantenimiento del control</v>
      </c>
      <c r="G12" s="159">
        <f>+VLOOKUP(A12,'Estado SCI'!$A$16:$L$59,12,0)</f>
        <v>20.123456789123448</v>
      </c>
      <c r="H12" s="159">
        <f t="shared" si="0"/>
        <v>11</v>
      </c>
      <c r="I12" s="159" t="str">
        <f>+IF(VLOOKUP(A12,'Estado SCI'!$A$16:$G$59,7,0)="","",VLOOKUP(A12,'Estado SCI'!$A$16:$G$59,7,0))</f>
        <v>Si</v>
      </c>
      <c r="J12" s="160">
        <f t="shared" si="2"/>
        <v>1</v>
      </c>
      <c r="K12" s="161">
        <f t="shared" si="1"/>
        <v>1</v>
      </c>
    </row>
    <row r="13" spans="1:11" x14ac:dyDescent="0.25">
      <c r="A13" s="159" t="s">
        <v>154</v>
      </c>
      <c r="B13" s="159" t="s">
        <v>32</v>
      </c>
      <c r="C13" s="159" t="s">
        <v>33</v>
      </c>
      <c r="D13" s="159" t="s">
        <v>58</v>
      </c>
      <c r="E13" s="159" t="s">
        <v>59</v>
      </c>
      <c r="F13" s="159" t="str">
        <f>+VLOOKUP(A13,'Estado SCI'!$A$16:$I$59,9,0)</f>
        <v>Mantenimiento del control</v>
      </c>
      <c r="G13" s="159">
        <f>+VLOOKUP(A13,'Estado SCI'!$A$16:$L$59,12,0)</f>
        <v>20.123456789123455</v>
      </c>
      <c r="H13" s="159">
        <f t="shared" si="0"/>
        <v>12</v>
      </c>
      <c r="I13" s="159" t="str">
        <f>+IF(VLOOKUP(A13,'Estado SCI'!$A$16:$G$59,7,0)="","",VLOOKUP(A13,'Estado SCI'!$A$16:$G$59,7,0))</f>
        <v>Si</v>
      </c>
      <c r="J13" s="160">
        <f t="shared" si="2"/>
        <v>1</v>
      </c>
      <c r="K13" s="161">
        <f t="shared" si="1"/>
        <v>1</v>
      </c>
    </row>
    <row r="14" spans="1:11" ht="15" customHeight="1" x14ac:dyDescent="0.25">
      <c r="A14" s="159" t="s">
        <v>155</v>
      </c>
      <c r="B14" s="159" t="str">
        <f>+VLOOKUP(A14,'Estado SCI'!$A$16:$C$59,3,0)</f>
        <v>EVALUACION DEL RIESGO</v>
      </c>
      <c r="C14" s="159" t="s">
        <v>62</v>
      </c>
      <c r="D14" s="159" t="s">
        <v>34</v>
      </c>
      <c r="E14" s="159" t="s">
        <v>156</v>
      </c>
      <c r="F14" s="159" t="str">
        <f>+VLOOKUP(A14,'Estado SCI'!$A$16:$I$59,9,0)</f>
        <v>Mantenimiento del control</v>
      </c>
      <c r="G14" s="159">
        <f>+VLOOKUP(A14,'Estado SCI'!$A$16:$L$59,12,0)</f>
        <v>40.229999999999997</v>
      </c>
      <c r="H14" s="159">
        <f t="shared" si="0"/>
        <v>14</v>
      </c>
      <c r="I14" s="159" t="str">
        <f>+IF(VLOOKUP(A14,'Estado SCI'!$A$16:$G$59,7,0)="","",VLOOKUP(A14,'Estado SCI'!$A$16:$G$59,7,0))</f>
        <v>Si</v>
      </c>
      <c r="J14" s="160">
        <f t="shared" si="2"/>
        <v>1</v>
      </c>
      <c r="K14" s="161">
        <f t="shared" si="1"/>
        <v>0.95</v>
      </c>
    </row>
    <row r="15" spans="1:11" ht="15" customHeight="1" x14ac:dyDescent="0.25">
      <c r="A15" s="159" t="s">
        <v>157</v>
      </c>
      <c r="B15" s="159" t="s">
        <v>61</v>
      </c>
      <c r="C15" s="159" t="s">
        <v>62</v>
      </c>
      <c r="D15" s="159" t="s">
        <v>37</v>
      </c>
      <c r="E15" s="159" t="s">
        <v>158</v>
      </c>
      <c r="F15" s="159" t="str">
        <f>+VLOOKUP(A15,'Estado SCI'!$A$16:$I$59,9,0)</f>
        <v>Mantenimiento del control</v>
      </c>
      <c r="G15" s="159">
        <f>+VLOOKUP(A15,'Estado SCI'!$A$16:$L$59,12,0)</f>
        <v>40.234000000000002</v>
      </c>
      <c r="H15" s="159">
        <f t="shared" si="0"/>
        <v>15</v>
      </c>
      <c r="I15" s="159" t="str">
        <f>+IF(VLOOKUP(A15,'Estado SCI'!$A$16:$G$59,7,0)="","",VLOOKUP(A15,'Estado SCI'!$A$16:$G$59,7,0))</f>
        <v>Si</v>
      </c>
      <c r="J15" s="160">
        <f t="shared" si="2"/>
        <v>1</v>
      </c>
      <c r="K15" s="161">
        <f t="shared" si="1"/>
        <v>0.95</v>
      </c>
    </row>
    <row r="16" spans="1:11" ht="15" customHeight="1" x14ac:dyDescent="0.25">
      <c r="A16" s="159" t="s">
        <v>159</v>
      </c>
      <c r="B16" s="159" t="s">
        <v>61</v>
      </c>
      <c r="C16" s="159" t="s">
        <v>62</v>
      </c>
      <c r="D16" s="159" t="s">
        <v>40</v>
      </c>
      <c r="E16" s="159" t="s">
        <v>160</v>
      </c>
      <c r="F16" s="159" t="str">
        <f>+VLOOKUP(A16,'Estado SCI'!$A$16:$I$59,9,0)</f>
        <v>Mantenimiento del control</v>
      </c>
      <c r="G16" s="159">
        <f>+VLOOKUP(A16,'Estado SCI'!$A$16:$L$59,12,0)</f>
        <v>40.234499999999997</v>
      </c>
      <c r="H16" s="159">
        <f t="shared" si="0"/>
        <v>16</v>
      </c>
      <c r="I16" s="159" t="str">
        <f>+IF(VLOOKUP(A16,'Estado SCI'!$A$16:$G$59,7,0)="","",VLOOKUP(A16,'Estado SCI'!$A$16:$G$59,7,0))</f>
        <v>Si</v>
      </c>
      <c r="J16" s="160">
        <f t="shared" si="2"/>
        <v>1</v>
      </c>
      <c r="K16" s="161">
        <f t="shared" si="1"/>
        <v>0.95</v>
      </c>
    </row>
    <row r="17" spans="1:11" ht="15.75" customHeight="1" x14ac:dyDescent="0.25">
      <c r="A17" s="159" t="s">
        <v>161</v>
      </c>
      <c r="B17" s="159" t="s">
        <v>61</v>
      </c>
      <c r="C17" s="159" t="s">
        <v>62</v>
      </c>
      <c r="D17" s="159" t="s">
        <v>42</v>
      </c>
      <c r="E17" s="159" t="s">
        <v>66</v>
      </c>
      <c r="F17" s="159" t="str">
        <f>+VLOOKUP(A17,'Estado SCI'!$A$16:$I$59,9,0)</f>
        <v>Mantenimiento del control</v>
      </c>
      <c r="G17" s="159">
        <f>+VLOOKUP(A17,'Estado SCI'!$A$16:$L$59,12,0)</f>
        <v>40.234560000000002</v>
      </c>
      <c r="H17" s="159">
        <f t="shared" si="0"/>
        <v>17</v>
      </c>
      <c r="I17" s="159" t="str">
        <f>+IF(VLOOKUP(A17,'Estado SCI'!$A$16:$G$59,7,0)="","",VLOOKUP(A17,'Estado SCI'!$A$16:$G$59,7,0))</f>
        <v>Si</v>
      </c>
      <c r="J17" s="160">
        <f t="shared" si="2"/>
        <v>1</v>
      </c>
      <c r="K17" s="161">
        <f t="shared" si="1"/>
        <v>0.95</v>
      </c>
    </row>
    <row r="18" spans="1:11" ht="15" customHeight="1" x14ac:dyDescent="0.25">
      <c r="A18" s="159" t="s">
        <v>162</v>
      </c>
      <c r="B18" s="159" t="s">
        <v>61</v>
      </c>
      <c r="C18" s="159" t="s">
        <v>80</v>
      </c>
      <c r="D18" s="159" t="s">
        <v>34</v>
      </c>
      <c r="E18" s="159" t="s">
        <v>69</v>
      </c>
      <c r="F18" s="159" t="str">
        <f>+VLOOKUP(A18,'Estado SCI'!$A$16:$I$59,9,0)</f>
        <v>Mantenimiento del control</v>
      </c>
      <c r="G18" s="159">
        <f>+VLOOKUP(A18,'Estado SCI'!$A$16:$L$59,12,0)</f>
        <v>40.234566999999998</v>
      </c>
      <c r="H18" s="159">
        <f t="shared" si="0"/>
        <v>18</v>
      </c>
      <c r="I18" s="159" t="str">
        <f>+IF(VLOOKUP(A18,'Estado SCI'!$A$16:$G$59,7,0)="","",VLOOKUP(A18,'Estado SCI'!$A$16:$G$59,7,0))</f>
        <v>Si</v>
      </c>
      <c r="J18" s="160">
        <f t="shared" si="2"/>
        <v>1</v>
      </c>
      <c r="K18" s="161">
        <f t="shared" si="1"/>
        <v>0.95</v>
      </c>
    </row>
    <row r="19" spans="1:11" ht="15" customHeight="1" x14ac:dyDescent="0.25">
      <c r="A19" s="159" t="s">
        <v>163</v>
      </c>
      <c r="B19" s="159" t="s">
        <v>61</v>
      </c>
      <c r="C19" s="159" t="s">
        <v>80</v>
      </c>
      <c r="D19" s="159" t="s">
        <v>37</v>
      </c>
      <c r="E19" s="159" t="s">
        <v>70</v>
      </c>
      <c r="F19" s="159" t="str">
        <f>+VLOOKUP(A19,'Estado SCI'!$A$16:$I$59,9,0)</f>
        <v>Oportunidad de mejora</v>
      </c>
      <c r="G19" s="159">
        <f>+VLOOKUP(A19,'Estado SCI'!$A$16:$L$59,12,0)</f>
        <v>30.234567800000001</v>
      </c>
      <c r="H19" s="159">
        <f t="shared" si="0"/>
        <v>13</v>
      </c>
      <c r="I19" s="159" t="str">
        <f>+IF(VLOOKUP(A19,'Estado SCI'!$A$16:$G$59,7,0)="","",VLOOKUP(A19,'Estado SCI'!$A$16:$G$59,7,0))</f>
        <v>En proceso</v>
      </c>
      <c r="J19" s="160">
        <f t="shared" si="2"/>
        <v>0.5</v>
      </c>
      <c r="K19" s="161">
        <f t="shared" si="1"/>
        <v>0.95</v>
      </c>
    </row>
    <row r="20" spans="1:11" ht="15" customHeight="1" x14ac:dyDescent="0.25">
      <c r="A20" s="159" t="s">
        <v>164</v>
      </c>
      <c r="B20" s="159" t="s">
        <v>61</v>
      </c>
      <c r="C20" s="159" t="s">
        <v>80</v>
      </c>
      <c r="D20" s="159" t="s">
        <v>40</v>
      </c>
      <c r="E20" s="159" t="s">
        <v>71</v>
      </c>
      <c r="F20" s="159" t="str">
        <f>+VLOOKUP(A20,'Estado SCI'!$A$16:$I$59,9,0)</f>
        <v>Mantenimiento del control</v>
      </c>
      <c r="G20" s="159">
        <f>+VLOOKUP(A20,'Estado SCI'!$A$16:$L$59,12,0)</f>
        <v>40.234567890000001</v>
      </c>
      <c r="H20" s="159">
        <f t="shared" si="0"/>
        <v>19</v>
      </c>
      <c r="I20" s="159" t="str">
        <f>+IF(VLOOKUP(A20,'Estado SCI'!$A$16:$G$59,7,0)="","",VLOOKUP(A20,'Estado SCI'!$A$16:$G$59,7,0))</f>
        <v>Si</v>
      </c>
      <c r="J20" s="160">
        <f t="shared" si="2"/>
        <v>1</v>
      </c>
      <c r="K20" s="161">
        <f t="shared" si="1"/>
        <v>0.95</v>
      </c>
    </row>
    <row r="21" spans="1:11" ht="15.75" customHeight="1" x14ac:dyDescent="0.25">
      <c r="A21" s="159" t="s">
        <v>165</v>
      </c>
      <c r="B21" s="159" t="s">
        <v>61</v>
      </c>
      <c r="C21" s="159" t="s">
        <v>80</v>
      </c>
      <c r="D21" s="159" t="s">
        <v>34</v>
      </c>
      <c r="E21" s="159" t="s">
        <v>74</v>
      </c>
      <c r="F21" s="159" t="str">
        <f>+VLOOKUP(A21,'Estado SCI'!$A$16:$I$59,9,0)</f>
        <v>Mantenimiento del control</v>
      </c>
      <c r="G21" s="159">
        <f>+VLOOKUP(A21,'Estado SCI'!$A$16:$L$59,12,0)</f>
        <v>40.234567891200001</v>
      </c>
      <c r="H21" s="159">
        <f t="shared" si="0"/>
        <v>20</v>
      </c>
      <c r="I21" s="159" t="str">
        <f>+IF(VLOOKUP(A21,'Estado SCI'!$A$16:$G$59,7,0)="","",VLOOKUP(A21,'Estado SCI'!$A$16:$G$59,7,0))</f>
        <v>Si</v>
      </c>
      <c r="J21" s="160">
        <f t="shared" si="2"/>
        <v>1</v>
      </c>
      <c r="K21" s="161">
        <f t="shared" si="1"/>
        <v>0.95</v>
      </c>
    </row>
    <row r="22" spans="1:11" ht="15" customHeight="1" x14ac:dyDescent="0.25">
      <c r="A22" s="159" t="s">
        <v>166</v>
      </c>
      <c r="B22" s="159" t="s">
        <v>61</v>
      </c>
      <c r="C22" s="159" t="s">
        <v>88</v>
      </c>
      <c r="D22" s="159" t="s">
        <v>37</v>
      </c>
      <c r="E22" s="159" t="s">
        <v>75</v>
      </c>
      <c r="F22" s="159" t="str">
        <f>+VLOOKUP(A22,'Estado SCI'!$A$16:$I$59,9,0)</f>
        <v>Mantenimiento del control</v>
      </c>
      <c r="G22" s="159">
        <f>+VLOOKUP(A22,'Estado SCI'!$A$16:$L$59,12,0)</f>
        <v>40.23456789123</v>
      </c>
      <c r="H22" s="159">
        <f t="shared" si="0"/>
        <v>21</v>
      </c>
      <c r="I22" s="159" t="str">
        <f>+IF(VLOOKUP(A22,'Estado SCI'!$A$16:$G$59,7,0)="","",VLOOKUP(A22,'Estado SCI'!$A$16:$G$59,7,0))</f>
        <v>Si</v>
      </c>
      <c r="J22" s="160">
        <f t="shared" si="2"/>
        <v>1</v>
      </c>
      <c r="K22" s="161">
        <f t="shared" si="1"/>
        <v>0.95</v>
      </c>
    </row>
    <row r="23" spans="1:11" ht="15" customHeight="1" x14ac:dyDescent="0.25">
      <c r="A23" s="159" t="s">
        <v>167</v>
      </c>
      <c r="B23" s="159" t="s">
        <v>61</v>
      </c>
      <c r="C23" s="159" t="s">
        <v>88</v>
      </c>
      <c r="D23" s="159" t="s">
        <v>40</v>
      </c>
      <c r="E23" s="159" t="s">
        <v>77</v>
      </c>
      <c r="F23" s="159" t="str">
        <f>+VLOOKUP(A23,'Estado SCI'!$A$16:$I$59,9,0)</f>
        <v>Mantenimiento del control</v>
      </c>
      <c r="G23" s="159">
        <f>+VLOOKUP(A23,'Estado SCI'!$A$16:$L$59,12,0)</f>
        <v>40.234567891234001</v>
      </c>
      <c r="H23" s="159">
        <f t="shared" si="0"/>
        <v>22</v>
      </c>
      <c r="I23" s="159" t="str">
        <f>+IF(VLOOKUP(A23,'Estado SCI'!$A$16:$G$59,7,0)="","",VLOOKUP(A23,'Estado SCI'!$A$16:$G$59,7,0))</f>
        <v>Si</v>
      </c>
      <c r="J23" s="160">
        <f t="shared" si="2"/>
        <v>1</v>
      </c>
      <c r="K23" s="161">
        <f t="shared" si="1"/>
        <v>0.95</v>
      </c>
    </row>
    <row r="24" spans="1:11" ht="15" customHeight="1" x14ac:dyDescent="0.25">
      <c r="A24" s="159" t="s">
        <v>168</v>
      </c>
      <c r="B24" s="159" t="str">
        <f>+VLOOKUP(A24,'Estado SCI'!$A$16:$C$59,3,0)</f>
        <v>ACTIVIDADES DE CONTROL</v>
      </c>
      <c r="C24" s="159" t="s">
        <v>88</v>
      </c>
      <c r="D24" s="159" t="s">
        <v>34</v>
      </c>
      <c r="E24" s="159" t="s">
        <v>81</v>
      </c>
      <c r="F24" s="159" t="str">
        <f>+VLOOKUP(A24,'Estado SCI'!$A$16:$I$59,9,0)</f>
        <v>Mantenimiento del control</v>
      </c>
      <c r="G24" s="159">
        <f>+VLOOKUP(A24,'Estado SCI'!$A$16:$L$59,12,0)</f>
        <v>60.31</v>
      </c>
      <c r="H24" s="159">
        <f t="shared" si="0"/>
        <v>23</v>
      </c>
      <c r="I24" s="159" t="str">
        <f>+IF(VLOOKUP(A24,'Estado SCI'!$A$16:$G$59,7,0)="","",VLOOKUP(A24,'Estado SCI'!$A$16:$G$59,7,0))</f>
        <v>Si</v>
      </c>
      <c r="J24" s="160">
        <f t="shared" si="2"/>
        <v>1</v>
      </c>
      <c r="K24" s="161">
        <f t="shared" si="1"/>
        <v>1</v>
      </c>
    </row>
    <row r="25" spans="1:11" ht="15" customHeight="1" x14ac:dyDescent="0.25">
      <c r="A25" s="159" t="s">
        <v>169</v>
      </c>
      <c r="B25" s="159" t="s">
        <v>79</v>
      </c>
      <c r="C25" s="159" t="s">
        <v>88</v>
      </c>
      <c r="D25" s="159" t="s">
        <v>37</v>
      </c>
      <c r="E25" s="159" t="s">
        <v>82</v>
      </c>
      <c r="F25" s="159" t="str">
        <f>+VLOOKUP(A25,'Estado SCI'!$A$16:$I$59,9,0)</f>
        <v>Mantenimiento del control</v>
      </c>
      <c r="G25" s="159">
        <f>+VLOOKUP(A25,'Estado SCI'!$A$16:$L$59,12,0)</f>
        <v>60.323</v>
      </c>
      <c r="H25" s="159">
        <f t="shared" si="0"/>
        <v>24</v>
      </c>
      <c r="I25" s="159" t="str">
        <f>+IF(VLOOKUP(A25,'Estado SCI'!$A$16:$G$59,7,0)="","",VLOOKUP(A25,'Estado SCI'!$A$16:$G$59,7,0))</f>
        <v>Si</v>
      </c>
      <c r="J25" s="160">
        <f t="shared" si="2"/>
        <v>1</v>
      </c>
      <c r="K25" s="161">
        <f t="shared" si="1"/>
        <v>1</v>
      </c>
    </row>
    <row r="26" spans="1:11" ht="15" customHeight="1" x14ac:dyDescent="0.25">
      <c r="A26" s="159" t="s">
        <v>170</v>
      </c>
      <c r="B26" s="159" t="s">
        <v>79</v>
      </c>
      <c r="C26" s="159" t="s">
        <v>88</v>
      </c>
      <c r="D26" s="159" t="s">
        <v>40</v>
      </c>
      <c r="E26" s="159" t="s">
        <v>83</v>
      </c>
      <c r="F26" s="159" t="str">
        <f>+VLOOKUP(A26,'Estado SCI'!$A$16:$I$59,9,0)</f>
        <v>Mantenimiento del control</v>
      </c>
      <c r="G26" s="159">
        <f>+VLOOKUP(A26,'Estado SCI'!$A$16:$L$59,12,0)</f>
        <v>60.323999999999998</v>
      </c>
      <c r="H26" s="159">
        <f t="shared" si="0"/>
        <v>25</v>
      </c>
      <c r="I26" s="159" t="str">
        <f>+IF(VLOOKUP(A26,'Estado SCI'!$A$16:$G$59,7,0)="","",VLOOKUP(A26,'Estado SCI'!$A$16:$G$59,7,0))</f>
        <v>Si</v>
      </c>
      <c r="J26" s="160">
        <f t="shared" si="2"/>
        <v>1</v>
      </c>
      <c r="K26" s="161">
        <f t="shared" si="1"/>
        <v>1</v>
      </c>
    </row>
    <row r="27" spans="1:11" ht="15.75" customHeight="1" x14ac:dyDescent="0.25">
      <c r="A27" s="159" t="s">
        <v>171</v>
      </c>
      <c r="B27" s="159" t="s">
        <v>79</v>
      </c>
      <c r="C27" s="159" t="s">
        <v>88</v>
      </c>
      <c r="D27" s="159" t="s">
        <v>42</v>
      </c>
      <c r="E27" s="159" t="s">
        <v>84</v>
      </c>
      <c r="F27" s="159" t="str">
        <f>+VLOOKUP(A27,'Estado SCI'!$A$16:$I$59,9,0)</f>
        <v>Mantenimiento del control</v>
      </c>
      <c r="G27" s="159">
        <f>+VLOOKUP(A27,'Estado SCI'!$A$16:$L$59,12,0)</f>
        <v>60.325000000000003</v>
      </c>
      <c r="H27" s="159">
        <f t="shared" si="0"/>
        <v>26</v>
      </c>
      <c r="I27" s="159" t="str">
        <f>+IF(VLOOKUP(A27,'Estado SCI'!$A$16:$G$59,7,0)="","",VLOOKUP(A27,'Estado SCI'!$A$16:$G$59,7,0))</f>
        <v>Si</v>
      </c>
      <c r="J27" s="160">
        <f t="shared" si="2"/>
        <v>1</v>
      </c>
      <c r="K27" s="161">
        <f t="shared" si="1"/>
        <v>1</v>
      </c>
    </row>
    <row r="28" spans="1:11" ht="15" customHeight="1" x14ac:dyDescent="0.25">
      <c r="A28" s="159" t="s">
        <v>172</v>
      </c>
      <c r="B28" s="159" t="s">
        <v>79</v>
      </c>
      <c r="C28" s="159" t="s">
        <v>98</v>
      </c>
      <c r="D28" s="159" t="s">
        <v>44</v>
      </c>
      <c r="E28" s="159" t="s">
        <v>85</v>
      </c>
      <c r="F28" s="159" t="str">
        <f>+VLOOKUP(A28,'Estado SCI'!$A$16:$I$59,9,0)</f>
        <v>Mantenimiento del control</v>
      </c>
      <c r="G28" s="159">
        <f>+VLOOKUP(A28,'Estado SCI'!$A$16:$L$59,12,0)</f>
        <v>60.326000000000001</v>
      </c>
      <c r="H28" s="159">
        <f t="shared" si="0"/>
        <v>27</v>
      </c>
      <c r="I28" s="159" t="str">
        <f>+IF(VLOOKUP(A28,'Estado SCI'!$A$16:$G$59,7,0)="","",VLOOKUP(A28,'Estado SCI'!$A$16:$G$59,7,0))</f>
        <v>Si</v>
      </c>
      <c r="J28" s="160">
        <f t="shared" si="2"/>
        <v>1</v>
      </c>
      <c r="K28" s="161">
        <f t="shared" si="1"/>
        <v>1</v>
      </c>
    </row>
    <row r="29" spans="1:11" ht="15" customHeight="1" x14ac:dyDescent="0.25">
      <c r="A29" s="159" t="s">
        <v>173</v>
      </c>
      <c r="B29" s="159" t="str">
        <f>+VLOOKUP(A29,'Estado SCI'!$A$16:$C$59,3,0)</f>
        <v>INFORMACION Y COMUNICACIÓN</v>
      </c>
      <c r="C29" s="159" t="s">
        <v>98</v>
      </c>
      <c r="D29" s="159" t="s">
        <v>34</v>
      </c>
      <c r="E29" s="159" t="s">
        <v>89</v>
      </c>
      <c r="F29" s="159" t="str">
        <f>+VLOOKUP(A29,'Estado SCI'!$A$16:$I$59,9,0)</f>
        <v>Mantenimiento del control</v>
      </c>
      <c r="G29" s="159">
        <f>+VLOOKUP(A29,'Estado SCI'!$A$16:$L$59,12,0)</f>
        <v>80.412000000000006</v>
      </c>
      <c r="H29" s="159">
        <f t="shared" si="0"/>
        <v>28</v>
      </c>
      <c r="I29" s="159" t="str">
        <f>+IF(VLOOKUP(A29,'Estado SCI'!$A$16:$G$59,7,0)="","",VLOOKUP(A29,'Estado SCI'!$A$16:$G$59,7,0))</f>
        <v>Si</v>
      </c>
      <c r="J29" s="160">
        <f t="shared" si="2"/>
        <v>1</v>
      </c>
      <c r="K29" s="161">
        <f t="shared" si="1"/>
        <v>1</v>
      </c>
    </row>
    <row r="30" spans="1:11" ht="15" customHeight="1" x14ac:dyDescent="0.25">
      <c r="A30" s="159" t="s">
        <v>174</v>
      </c>
      <c r="B30" s="159" t="s">
        <v>87</v>
      </c>
      <c r="C30" s="159" t="s">
        <v>98</v>
      </c>
      <c r="D30" s="159" t="s">
        <v>37</v>
      </c>
      <c r="E30" s="159" t="s">
        <v>90</v>
      </c>
      <c r="F30" s="159" t="str">
        <f>+VLOOKUP(A30,'Estado SCI'!$A$16:$I$59,9,0)</f>
        <v>Mantenimiento del control</v>
      </c>
      <c r="G30" s="159">
        <f>+VLOOKUP(A30,'Estado SCI'!$A$16:$L$59,12,0)</f>
        <v>80.412300000000002</v>
      </c>
      <c r="H30" s="159">
        <f t="shared" si="0"/>
        <v>29</v>
      </c>
      <c r="I30" s="159" t="str">
        <f>+IF(VLOOKUP(A30,'Estado SCI'!$A$16:$G$59,7,0)="","",VLOOKUP(A30,'Estado SCI'!$A$16:$G$59,7,0))</f>
        <v>Si</v>
      </c>
      <c r="J30" s="160">
        <f t="shared" si="2"/>
        <v>1</v>
      </c>
      <c r="K30" s="161">
        <f t="shared" si="1"/>
        <v>1</v>
      </c>
    </row>
    <row r="31" spans="1:11" ht="15.75" customHeight="1" x14ac:dyDescent="0.25">
      <c r="A31" s="159" t="s">
        <v>175</v>
      </c>
      <c r="B31" s="159" t="s">
        <v>87</v>
      </c>
      <c r="C31" s="159" t="s">
        <v>98</v>
      </c>
      <c r="D31" s="159" t="s">
        <v>40</v>
      </c>
      <c r="E31" s="159" t="s">
        <v>91</v>
      </c>
      <c r="F31" s="159" t="str">
        <f>+VLOOKUP(A31,'Estado SCI'!$A$16:$I$59,9,0)</f>
        <v>Mantenimiento del control</v>
      </c>
      <c r="G31" s="159">
        <f>+VLOOKUP(A31,'Estado SCI'!$A$16:$L$59,12,0)</f>
        <v>80.41234</v>
      </c>
      <c r="H31" s="159">
        <f t="shared" si="0"/>
        <v>30</v>
      </c>
      <c r="I31" s="159" t="str">
        <f>+IF(VLOOKUP(A31,'Estado SCI'!$A$16:$G$59,7,0)="","",VLOOKUP(A31,'Estado SCI'!$A$16:$G$59,7,0))</f>
        <v>Si</v>
      </c>
      <c r="J31" s="160">
        <f t="shared" si="2"/>
        <v>1</v>
      </c>
      <c r="K31" s="161">
        <f t="shared" si="1"/>
        <v>1</v>
      </c>
    </row>
    <row r="32" spans="1:11" x14ac:dyDescent="0.25">
      <c r="A32" s="159" t="s">
        <v>176</v>
      </c>
      <c r="B32" s="159" t="s">
        <v>87</v>
      </c>
      <c r="C32" s="159" t="s">
        <v>104</v>
      </c>
      <c r="D32" s="159" t="s">
        <v>42</v>
      </c>
      <c r="E32" s="159" t="s">
        <v>92</v>
      </c>
      <c r="F32" s="159" t="str">
        <f>+VLOOKUP(A32,'Estado SCI'!$A$16:$I$59,9,0)</f>
        <v>Mantenimiento del control</v>
      </c>
      <c r="G32" s="159">
        <f>+VLOOKUP(A32,'Estado SCI'!$A$16:$L$59,12,0)</f>
        <v>80.412345000000002</v>
      </c>
      <c r="H32" s="159">
        <f t="shared" si="0"/>
        <v>31</v>
      </c>
      <c r="I32" s="159" t="str">
        <f>+IF(VLOOKUP(A32,'Estado SCI'!$A$16:$G$59,7,0)="","",VLOOKUP(A32,'Estado SCI'!$A$16:$G$59,7,0))</f>
        <v>Si</v>
      </c>
      <c r="J32" s="160">
        <f t="shared" si="2"/>
        <v>1</v>
      </c>
      <c r="K32" s="161">
        <f t="shared" si="1"/>
        <v>1</v>
      </c>
    </row>
    <row r="33" spans="1:11" x14ac:dyDescent="0.25">
      <c r="A33" s="159" t="s">
        <v>177</v>
      </c>
      <c r="B33" s="159" t="s">
        <v>87</v>
      </c>
      <c r="C33" s="159" t="s">
        <v>178</v>
      </c>
      <c r="D33" s="159" t="s">
        <v>44</v>
      </c>
      <c r="E33" s="159" t="s">
        <v>93</v>
      </c>
      <c r="F33" s="159" t="str">
        <f>+VLOOKUP(A33,'Estado SCI'!$A$16:$I$59,9,0)</f>
        <v>Mantenimiento del control</v>
      </c>
      <c r="G33" s="159">
        <f>+VLOOKUP(A33,'Estado SCI'!$A$16:$L$59,12,0)</f>
        <v>80.412345599999995</v>
      </c>
      <c r="H33" s="159">
        <f t="shared" si="0"/>
        <v>32</v>
      </c>
      <c r="I33" s="159" t="str">
        <f>+IF(VLOOKUP(A33,'Estado SCI'!$A$16:$G$59,7,0)="","",VLOOKUP(A33,'Estado SCI'!$A$16:$G$59,7,0))</f>
        <v>Si</v>
      </c>
      <c r="J33" s="160">
        <f t="shared" si="2"/>
        <v>1</v>
      </c>
      <c r="K33" s="161">
        <f t="shared" si="1"/>
        <v>1</v>
      </c>
    </row>
    <row r="34" spans="1:11" x14ac:dyDescent="0.25">
      <c r="A34" s="159" t="s">
        <v>179</v>
      </c>
      <c r="B34" s="159" t="s">
        <v>87</v>
      </c>
      <c r="C34" s="159" t="s">
        <v>178</v>
      </c>
      <c r="D34" s="159" t="s">
        <v>46</v>
      </c>
      <c r="E34" s="159" t="s">
        <v>94</v>
      </c>
      <c r="F34" s="159" t="str">
        <f>+VLOOKUP(A34,'Estado SCI'!$A$16:$I$59,9,0)</f>
        <v>Mantenimiento del control</v>
      </c>
      <c r="G34" s="159">
        <f>+VLOOKUP(A34,'Estado SCI'!$A$16:$L$59,12,0)</f>
        <v>80.412345669999993</v>
      </c>
      <c r="H34" s="159">
        <f t="shared" si="0"/>
        <v>33</v>
      </c>
      <c r="I34" s="159" t="str">
        <f>+IF(VLOOKUP(A34,'Estado SCI'!$A$16:$G$59,7,0)="","",VLOOKUP(A34,'Estado SCI'!$A$16:$G$59,7,0))</f>
        <v>Si</v>
      </c>
      <c r="J34" s="160">
        <f t="shared" si="2"/>
        <v>1</v>
      </c>
      <c r="K34" s="161">
        <f t="shared" si="1"/>
        <v>1</v>
      </c>
    </row>
    <row r="35" spans="1:11" x14ac:dyDescent="0.25">
      <c r="A35" s="159" t="s">
        <v>180</v>
      </c>
      <c r="B35" s="159" t="s">
        <v>87</v>
      </c>
      <c r="C35" s="159" t="s">
        <v>178</v>
      </c>
      <c r="D35" s="159" t="s">
        <v>48</v>
      </c>
      <c r="E35" s="159" t="s">
        <v>95</v>
      </c>
      <c r="F35" s="159" t="str">
        <f>+VLOOKUP(A35,'Estado SCI'!$A$16:$I$59,9,0)</f>
        <v>Mantenimiento del control</v>
      </c>
      <c r="G35" s="159">
        <f>+VLOOKUP(A35,'Estado SCI'!$A$16:$L$59,12,0)</f>
        <v>80.412345677999994</v>
      </c>
      <c r="H35" s="159">
        <f t="shared" si="0"/>
        <v>34</v>
      </c>
      <c r="I35" s="159" t="str">
        <f>+IF(VLOOKUP(A35,'Estado SCI'!$A$16:$G$59,7,0)="","",VLOOKUP(A35,'Estado SCI'!$A$16:$G$59,7,0))</f>
        <v>Si</v>
      </c>
      <c r="J35" s="160">
        <f t="shared" si="2"/>
        <v>1</v>
      </c>
      <c r="K35" s="161">
        <f t="shared" si="1"/>
        <v>1</v>
      </c>
    </row>
    <row r="36" spans="1:11" x14ac:dyDescent="0.25">
      <c r="A36" s="159" t="s">
        <v>181</v>
      </c>
      <c r="B36" s="159" t="str">
        <f>+VLOOKUP(A36,'Estado SCI'!$A$16:$C$59,3,0)</f>
        <v>ACTIVIDADES DE MONITOREO</v>
      </c>
      <c r="C36" s="159" t="s">
        <v>178</v>
      </c>
      <c r="D36" s="159" t="s">
        <v>34</v>
      </c>
      <c r="E36" s="159" t="s">
        <v>99</v>
      </c>
      <c r="F36" s="159" t="str">
        <f>+VLOOKUP(A36,'Estado SCI'!$A$16:$I$59,9,0)</f>
        <v>Mantenimiento del control</v>
      </c>
      <c r="G36" s="159">
        <f>+VLOOKUP(A36,'Estado SCI'!$A$16:$L$59,12,0)</f>
        <v>120.851</v>
      </c>
      <c r="H36" s="159">
        <f t="shared" si="0"/>
        <v>36</v>
      </c>
      <c r="I36" s="159" t="str">
        <f>+IF(VLOOKUP(A36,'Estado SCI'!$A$16:$G$59,7,0)="","",VLOOKUP(A36,'Estado SCI'!$A$16:$G$59,7,0))</f>
        <v>Si</v>
      </c>
      <c r="J36" s="160">
        <f t="shared" si="2"/>
        <v>1</v>
      </c>
      <c r="K36" s="161">
        <f t="shared" si="1"/>
        <v>0.9</v>
      </c>
    </row>
    <row r="37" spans="1:11" x14ac:dyDescent="0.25">
      <c r="A37" s="159" t="s">
        <v>182</v>
      </c>
      <c r="B37" s="159" t="s">
        <v>97</v>
      </c>
      <c r="C37" s="159" t="s">
        <v>178</v>
      </c>
      <c r="D37" s="159" t="s">
        <v>42</v>
      </c>
      <c r="E37" s="159" t="s">
        <v>100</v>
      </c>
      <c r="F37" s="159" t="str">
        <f>+VLOOKUP(A37,'Estado SCI'!$A$16:$I$59,9,0)</f>
        <v>Mantenimiento del control</v>
      </c>
      <c r="G37" s="159">
        <f>+VLOOKUP(A37,'Estado SCI'!$A$16:$L$59,12,0)</f>
        <v>120.85120000000001</v>
      </c>
      <c r="H37" s="159">
        <f t="shared" si="0"/>
        <v>37</v>
      </c>
      <c r="I37" s="159" t="str">
        <f>+IF(VLOOKUP(A37,'Estado SCI'!$A$16:$G$59,7,0)="","",VLOOKUP(A37,'Estado SCI'!$A$16:$G$59,7,0))</f>
        <v>Si</v>
      </c>
      <c r="J37" s="160">
        <f t="shared" si="2"/>
        <v>1</v>
      </c>
      <c r="K37" s="161">
        <f t="shared" si="1"/>
        <v>0.9</v>
      </c>
    </row>
    <row r="38" spans="1:11" x14ac:dyDescent="0.25">
      <c r="A38" s="159" t="s">
        <v>183</v>
      </c>
      <c r="B38" s="159" t="s">
        <v>97</v>
      </c>
      <c r="C38" s="159" t="s">
        <v>68</v>
      </c>
      <c r="D38" s="159" t="s">
        <v>46</v>
      </c>
      <c r="E38" s="159" t="s">
        <v>101</v>
      </c>
      <c r="F38" s="159" t="str">
        <f>+VLOOKUP(A38,'Estado SCI'!$A$16:$I$59,9,0)</f>
        <v>Mantenimiento del control</v>
      </c>
      <c r="G38" s="159">
        <f>+VLOOKUP(A38,'Estado SCI'!$A$16:$L$59,12,0)</f>
        <v>120.85123</v>
      </c>
      <c r="H38" s="159">
        <f t="shared" si="0"/>
        <v>38</v>
      </c>
      <c r="I38" s="159" t="str">
        <f>+IF(VLOOKUP(A38,'Estado SCI'!$A$16:$G$59,7,0)="","",VLOOKUP(A38,'Estado SCI'!$A$16:$G$59,7,0))</f>
        <v>Si</v>
      </c>
      <c r="J38" s="160">
        <f t="shared" si="2"/>
        <v>1</v>
      </c>
      <c r="K38" s="161">
        <f t="shared" si="1"/>
        <v>0.9</v>
      </c>
    </row>
    <row r="39" spans="1:11" x14ac:dyDescent="0.25">
      <c r="A39" s="159" t="s">
        <v>184</v>
      </c>
      <c r="B39" s="159" t="s">
        <v>97</v>
      </c>
      <c r="C39" s="159" t="s">
        <v>68</v>
      </c>
      <c r="D39" s="159" t="s">
        <v>48</v>
      </c>
      <c r="E39" s="159" t="s">
        <v>102</v>
      </c>
      <c r="F39" s="159" t="str">
        <f>+VLOOKUP(A39,'Estado SCI'!$A$16:$I$59,9,0)</f>
        <v>Mantenimiento del control</v>
      </c>
      <c r="G39" s="159">
        <f>+VLOOKUP(A39,'Estado SCI'!$A$16:$L$59,12,0)</f>
        <v>120.85123400000001</v>
      </c>
      <c r="H39" s="159">
        <f t="shared" si="0"/>
        <v>39</v>
      </c>
      <c r="I39" s="159" t="str">
        <f>+IF(VLOOKUP(A39,'Estado SCI'!$A$16:$G$59,7,0)="","",VLOOKUP(A39,'Estado SCI'!$A$16:$G$59,7,0))</f>
        <v>Si</v>
      </c>
      <c r="J39" s="160">
        <f t="shared" si="2"/>
        <v>1</v>
      </c>
      <c r="K39" s="161">
        <f t="shared" si="1"/>
        <v>0.9</v>
      </c>
    </row>
    <row r="40" spans="1:11" x14ac:dyDescent="0.25">
      <c r="A40" s="159" t="s">
        <v>185</v>
      </c>
      <c r="B40" s="159" t="s">
        <v>97</v>
      </c>
      <c r="C40" s="159" t="s">
        <v>68</v>
      </c>
      <c r="D40" s="159" t="s">
        <v>50</v>
      </c>
      <c r="E40" s="159" t="s">
        <v>105</v>
      </c>
      <c r="F40" s="159" t="str">
        <f>+VLOOKUP(A40,'Estado SCI'!$A$16:$I$59,9,0)</f>
        <v>Deficiencia de control</v>
      </c>
      <c r="G40" s="159">
        <f>+VLOOKUP(A40,'Estado SCI'!$A$16:$L$59,12,0)</f>
        <v>80.851234500000004</v>
      </c>
      <c r="H40" s="159">
        <f t="shared" si="0"/>
        <v>35</v>
      </c>
      <c r="I40" s="159" t="str">
        <f>+IF(VLOOKUP(A40,'Estado SCI'!$A$16:$G$59,7,0)="","",VLOOKUP(A40,'Estado SCI'!$A$16:$G$59,7,0))</f>
        <v>No</v>
      </c>
      <c r="J40" s="160">
        <f t="shared" si="2"/>
        <v>0</v>
      </c>
      <c r="K40" s="161">
        <f t="shared" si="1"/>
        <v>0.9</v>
      </c>
    </row>
    <row r="41" spans="1:11" x14ac:dyDescent="0.25">
      <c r="A41" s="159" t="s">
        <v>186</v>
      </c>
      <c r="B41" s="159" t="s">
        <v>97</v>
      </c>
      <c r="C41" s="159" t="s">
        <v>68</v>
      </c>
      <c r="D41" s="159" t="s">
        <v>34</v>
      </c>
      <c r="E41" s="159" t="s">
        <v>108</v>
      </c>
      <c r="F41" s="159" t="str">
        <f>+VLOOKUP(A41,'Estado SCI'!$A$16:$I$59,9,0)</f>
        <v>Mantenimiento del control</v>
      </c>
      <c r="G41" s="159">
        <f>+VLOOKUP(A41,'Estado SCI'!$A$16:$L$59,12,0)</f>
        <v>120.85123455999999</v>
      </c>
      <c r="H41" s="159">
        <f t="shared" si="0"/>
        <v>40</v>
      </c>
      <c r="I41" s="159" t="str">
        <f>+IF(VLOOKUP(A41,'Estado SCI'!$A$16:$G$59,7,0)="","",VLOOKUP(A41,'Estado SCI'!$A$16:$G$59,7,0))</f>
        <v>Si</v>
      </c>
      <c r="J41" s="160">
        <f t="shared" si="2"/>
        <v>1</v>
      </c>
      <c r="K41" s="161">
        <f t="shared" si="1"/>
        <v>0.9</v>
      </c>
    </row>
    <row r="42" spans="1:11" x14ac:dyDescent="0.25">
      <c r="A42" s="159" t="s">
        <v>187</v>
      </c>
      <c r="B42" s="159" t="s">
        <v>97</v>
      </c>
      <c r="C42" s="159" t="s">
        <v>73</v>
      </c>
      <c r="D42" s="159" t="s">
        <v>37</v>
      </c>
      <c r="E42" s="159" t="s">
        <v>109</v>
      </c>
      <c r="F42" s="159" t="str">
        <f>+VLOOKUP(A42,'Estado SCI'!$A$16:$I$59,9,0)</f>
        <v>Mantenimiento del control</v>
      </c>
      <c r="G42" s="159">
        <f>+VLOOKUP(A42,'Estado SCI'!$A$16:$L$59,12,0)</f>
        <v>120.85123456700001</v>
      </c>
      <c r="H42" s="159">
        <f t="shared" si="0"/>
        <v>41</v>
      </c>
      <c r="I42" s="159" t="str">
        <f>+IF(VLOOKUP(A42,'Estado SCI'!$A$16:$G$59,7,0)="","",VLOOKUP(A42,'Estado SCI'!$A$16:$G$59,7,0))</f>
        <v>Si</v>
      </c>
      <c r="J42" s="160">
        <f t="shared" si="2"/>
        <v>1</v>
      </c>
      <c r="K42" s="161">
        <f t="shared" si="1"/>
        <v>0.9</v>
      </c>
    </row>
    <row r="43" spans="1:11" x14ac:dyDescent="0.25">
      <c r="A43" s="159" t="s">
        <v>188</v>
      </c>
      <c r="B43" s="159" t="s">
        <v>97</v>
      </c>
      <c r="C43" s="159" t="s">
        <v>73</v>
      </c>
      <c r="D43" s="159" t="s">
        <v>40</v>
      </c>
      <c r="E43" s="159" t="s">
        <v>110</v>
      </c>
      <c r="F43" s="159" t="str">
        <f>+VLOOKUP(A43,'Estado SCI'!$A$16:$I$59,9,0)</f>
        <v>Mantenimiento del control</v>
      </c>
      <c r="G43" s="159">
        <f>+VLOOKUP(A43,'Estado SCI'!$A$16:$L$59,12,0)</f>
        <v>120.85123456780001</v>
      </c>
      <c r="H43" s="159">
        <f t="shared" si="0"/>
        <v>42</v>
      </c>
      <c r="I43" s="159" t="str">
        <f>+IF(VLOOKUP(A43,'Estado SCI'!$A$16:$G$59,7,0)="","",VLOOKUP(A43,'Estado SCI'!$A$16:$G$59,7,0))</f>
        <v>Si</v>
      </c>
      <c r="J43" s="160">
        <f t="shared" si="2"/>
        <v>1</v>
      </c>
      <c r="K43" s="161">
        <f t="shared" si="1"/>
        <v>0.9</v>
      </c>
    </row>
    <row r="44" spans="1:11" x14ac:dyDescent="0.25">
      <c r="A44" s="159" t="s">
        <v>189</v>
      </c>
      <c r="B44" s="159" t="s">
        <v>97</v>
      </c>
      <c r="C44" s="159" t="s">
        <v>73</v>
      </c>
      <c r="D44" s="159" t="s">
        <v>42</v>
      </c>
      <c r="E44" s="159" t="s">
        <v>111</v>
      </c>
      <c r="F44" s="159" t="str">
        <f>+VLOOKUP(A44,'Estado SCI'!$A$16:$I$59,9,0)</f>
        <v>Mantenimiento del control</v>
      </c>
      <c r="G44" s="159">
        <f>+VLOOKUP(A44,'Estado SCI'!$A$16:$L$59,12,0)</f>
        <v>120.85123456789</v>
      </c>
      <c r="H44" s="159">
        <f t="shared" si="0"/>
        <v>43</v>
      </c>
      <c r="I44" s="159" t="str">
        <f>+IF(VLOOKUP(A44,'Estado SCI'!$A$16:$G$59,7,0)="","",VLOOKUP(A44,'Estado SCI'!$A$16:$G$59,7,0))</f>
        <v>Si</v>
      </c>
      <c r="J44" s="160">
        <f t="shared" si="2"/>
        <v>1</v>
      </c>
      <c r="K44" s="161">
        <f t="shared" si="1"/>
        <v>0.9</v>
      </c>
    </row>
    <row r="45" spans="1:11" x14ac:dyDescent="0.25">
      <c r="A45" s="159" t="s">
        <v>190</v>
      </c>
      <c r="B45" s="159" t="s">
        <v>97</v>
      </c>
      <c r="C45" s="159" t="s">
        <v>73</v>
      </c>
      <c r="D45" s="159" t="s">
        <v>44</v>
      </c>
      <c r="E45" s="159" t="s">
        <v>112</v>
      </c>
      <c r="F45" s="159" t="str">
        <f>+VLOOKUP(A45,'Estado SCI'!$A$16:$I$59,9,0)</f>
        <v>Mantenimiento del control</v>
      </c>
      <c r="G45" s="159">
        <f>+VLOOKUP(A45,'Estado SCI'!$A$16:$L$59,12,0)</f>
        <v>120.851234567891</v>
      </c>
      <c r="H45" s="159">
        <f t="shared" si="0"/>
        <v>44</v>
      </c>
      <c r="I45" s="159" t="str">
        <f>+IF(VLOOKUP(A45,'Estado SCI'!$A$16:$G$59,7,0)="","",VLOOKUP(A45,'Estado SCI'!$A$16:$G$59,7,0))</f>
        <v>Si</v>
      </c>
      <c r="J45" s="160">
        <f t="shared" si="2"/>
        <v>1</v>
      </c>
      <c r="K45" s="161">
        <f t="shared" si="1"/>
        <v>0.9</v>
      </c>
    </row>
  </sheetData>
  <sheetProtection algorithmName="SHA-512" hashValue="eXgkKlTi9xJKAI7t6Aeb2RaFpkfyF43pI2BIhtxDc7hsl0SqLK8I4Wc7jbZwC5kw3uyIHOBIUXRnh5cC70LKYA==" saltValue="AxKzX6Ar80vT7acQV8rFpQ==" spinCount="100000" sheet="1" objects="1" scenarios="1" selectLockedCells="1"/>
  <autoFilter ref="A1:K45"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Control Interno Consejo Distrital Cartagena</cp:lastModifiedBy>
  <cp:revision/>
  <dcterms:created xsi:type="dcterms:W3CDTF">2020-04-28T13:58:09Z</dcterms:created>
  <dcterms:modified xsi:type="dcterms:W3CDTF">2021-02-11T15:46:05Z</dcterms:modified>
  <cp:category/>
  <cp:contentStatus/>
</cp:coreProperties>
</file>